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comments9.xml" ContentType="application/vnd.openxmlformats-officedocument.spreadsheetml.comments+xml"/>
  <Override PartName="/xl/threadedComments/threadedComment9.xml" ContentType="application/vnd.ms-excel.threadedcomments+xml"/>
  <Override PartName="/xl/comments10.xml" ContentType="application/vnd.openxmlformats-officedocument.spreadsheetml.comments+xml"/>
  <Override PartName="/xl/threadedComments/threadedComment10.xml" ContentType="application/vnd.ms-excel.threadedcomments+xml"/>
  <Override PartName="/xl/comments11.xml" ContentType="application/vnd.openxmlformats-officedocument.spreadsheetml.comments+xml"/>
  <Override PartName="/xl/threadedComments/threadedComment1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ungdocgvo/Desktop/_iCloud Backup/Sailing/Suttons Racing/2026 Suttons/"/>
    </mc:Choice>
  </mc:AlternateContent>
  <xr:revisionPtr revIDLastSave="0" documentId="8_{8591BE3A-856B-1B49-B318-4895BC96FAAC}" xr6:coauthVersionLast="47" xr6:coauthVersionMax="47" xr10:uidLastSave="{00000000-0000-0000-0000-000000000000}"/>
  <bookViews>
    <workbookView xWindow="0" yWindow="680" windowWidth="34200" windowHeight="20180" tabRatio="724" activeTab="4" xr2:uid="{9F8927F8-621A-4502-A2E3-94F2D1676885}"/>
  </bookViews>
  <sheets>
    <sheet name="Roster and Starting Handicaps" sheetId="44" r:id="rId1"/>
    <sheet name="Race #1" sheetId="2" r:id="rId2"/>
    <sheet name="Race #2" sheetId="26" r:id="rId3"/>
    <sheet name="Race #3" sheetId="27" r:id="rId4"/>
    <sheet name="Race #4" sheetId="28" r:id="rId5"/>
    <sheet name="Race #5" sheetId="29" r:id="rId6"/>
    <sheet name="Race #6" sheetId="30" r:id="rId7"/>
    <sheet name="Race #7" sheetId="31" r:id="rId8"/>
    <sheet name="Race #8" sheetId="32" r:id="rId9"/>
    <sheet name="Race #9" sheetId="33" r:id="rId10"/>
    <sheet name="Race #10" sheetId="34" r:id="rId11"/>
    <sheet name="Race #11" sheetId="35" r:id="rId12"/>
    <sheet name="2026 Suttons Finish Summary" sheetId="1" r:id="rId13"/>
  </sheets>
  <definedNames>
    <definedName name="_xlnm.Print_Area" localSheetId="12">'2026 Suttons Finish Summary'!$A$3:$AZ$24</definedName>
    <definedName name="_xlnm.Print_Area" localSheetId="1">'Race #1'!$A$1:$AK$40</definedName>
    <definedName name="_xlnm.Print_Area" localSheetId="10">'Race #10'!$A$1:$AJ$32</definedName>
    <definedName name="_xlnm.Print_Area" localSheetId="11">'Race #11'!$A$1:$AK$34</definedName>
    <definedName name="_xlnm.Print_Area" localSheetId="2">'Race #2'!$A$1:$AK$40</definedName>
    <definedName name="_xlnm.Print_Area" localSheetId="3">'Race #3'!$A$1:$AK$40</definedName>
    <definedName name="_xlnm.Print_Area" localSheetId="4">'Race #4'!$A$1:$AK$32</definedName>
    <definedName name="_xlnm.Print_Area" localSheetId="5">'Race #5'!$A$1:$AJ$32</definedName>
    <definedName name="_xlnm.Print_Area" localSheetId="6">'Race #6'!$A$1:$AJ$32</definedName>
    <definedName name="_xlnm.Print_Area" localSheetId="7">'Race #7'!$A$1:$AK$40</definedName>
    <definedName name="_xlnm.Print_Area" localSheetId="8">'Race #8'!$A$1:$AK$34</definedName>
    <definedName name="_xlnm.Print_Area" localSheetId="9">'Race #9'!$A$1:$AJ$34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26" l="1"/>
  <c r="J17" i="26"/>
  <c r="J16" i="26"/>
  <c r="J15" i="26"/>
  <c r="J14" i="26"/>
  <c r="J13" i="26"/>
  <c r="J12" i="26"/>
  <c r="J11" i="26"/>
  <c r="J10" i="26"/>
  <c r="J9" i="26"/>
  <c r="J8" i="26"/>
  <c r="J7" i="26"/>
  <c r="J6" i="26"/>
  <c r="J5" i="26"/>
  <c r="J18" i="27"/>
  <c r="J17" i="27"/>
  <c r="J16" i="27"/>
  <c r="J15" i="27"/>
  <c r="J14" i="27"/>
  <c r="J13" i="27"/>
  <c r="J12" i="27"/>
  <c r="J11" i="27"/>
  <c r="K11" i="27" s="1"/>
  <c r="J10" i="27"/>
  <c r="J9" i="27"/>
  <c r="J8" i="27"/>
  <c r="J7" i="27"/>
  <c r="J6" i="27"/>
  <c r="J5" i="27"/>
  <c r="J18" i="28"/>
  <c r="J17" i="28"/>
  <c r="J16" i="28"/>
  <c r="J15" i="28"/>
  <c r="J14" i="28"/>
  <c r="J13" i="28"/>
  <c r="J12" i="28"/>
  <c r="J11" i="28"/>
  <c r="J10" i="28"/>
  <c r="J9" i="28"/>
  <c r="J8" i="28"/>
  <c r="J7" i="28"/>
  <c r="J6" i="28"/>
  <c r="J5" i="28"/>
  <c r="J18" i="29"/>
  <c r="J17" i="29"/>
  <c r="J16" i="29"/>
  <c r="J15" i="29"/>
  <c r="J14" i="29"/>
  <c r="J13" i="29"/>
  <c r="J12" i="29"/>
  <c r="J11" i="29"/>
  <c r="J10" i="29"/>
  <c r="J9" i="29"/>
  <c r="J8" i="29"/>
  <c r="J7" i="29"/>
  <c r="J6" i="29"/>
  <c r="J5" i="29"/>
  <c r="J18" i="30"/>
  <c r="J17" i="30"/>
  <c r="J16" i="30"/>
  <c r="J15" i="30"/>
  <c r="J14" i="30"/>
  <c r="J13" i="30"/>
  <c r="J12" i="30"/>
  <c r="J11" i="30"/>
  <c r="J10" i="30"/>
  <c r="J9" i="30"/>
  <c r="J8" i="30"/>
  <c r="J7" i="30"/>
  <c r="J6" i="30"/>
  <c r="J5" i="30"/>
  <c r="J18" i="31"/>
  <c r="J17" i="31"/>
  <c r="J16" i="31"/>
  <c r="J15" i="31"/>
  <c r="J14" i="31"/>
  <c r="J13" i="31"/>
  <c r="J12" i="31"/>
  <c r="J11" i="31"/>
  <c r="J10" i="31"/>
  <c r="J9" i="31"/>
  <c r="J8" i="31"/>
  <c r="J7" i="31"/>
  <c r="J6" i="31"/>
  <c r="J5" i="31"/>
  <c r="J18" i="32"/>
  <c r="J17" i="32"/>
  <c r="J16" i="32"/>
  <c r="J15" i="32"/>
  <c r="J14" i="32"/>
  <c r="J13" i="32"/>
  <c r="J12" i="32"/>
  <c r="J11" i="32"/>
  <c r="J10" i="32"/>
  <c r="J9" i="32"/>
  <c r="J8" i="32"/>
  <c r="J7" i="32"/>
  <c r="J6" i="32"/>
  <c r="J5" i="32"/>
  <c r="J18" i="33"/>
  <c r="J17" i="33"/>
  <c r="J16" i="33"/>
  <c r="J15" i="33"/>
  <c r="J14" i="33"/>
  <c r="J13" i="33"/>
  <c r="J12" i="33"/>
  <c r="J11" i="33"/>
  <c r="K11" i="33" s="1"/>
  <c r="J10" i="33"/>
  <c r="J9" i="33"/>
  <c r="J8" i="33"/>
  <c r="J7" i="33"/>
  <c r="J6" i="33"/>
  <c r="J5" i="33"/>
  <c r="J18" i="34"/>
  <c r="J17" i="34"/>
  <c r="J16" i="34"/>
  <c r="J15" i="34"/>
  <c r="J14" i="34"/>
  <c r="J13" i="34"/>
  <c r="J12" i="34"/>
  <c r="J11" i="34"/>
  <c r="K11" i="34" s="1"/>
  <c r="J10" i="34"/>
  <c r="J9" i="34"/>
  <c r="J8" i="34"/>
  <c r="J7" i="34"/>
  <c r="J6" i="34"/>
  <c r="J5" i="34"/>
  <c r="J18" i="35"/>
  <c r="J17" i="35"/>
  <c r="J16" i="35"/>
  <c r="J15" i="35"/>
  <c r="J14" i="35"/>
  <c r="J13" i="35"/>
  <c r="J12" i="35"/>
  <c r="J11" i="35"/>
  <c r="K11" i="35" s="1"/>
  <c r="J10" i="35"/>
  <c r="J9" i="35"/>
  <c r="J8" i="35"/>
  <c r="J7" i="35"/>
  <c r="J6" i="35"/>
  <c r="J5" i="35"/>
  <c r="J18" i="2"/>
  <c r="J17" i="2"/>
  <c r="J16" i="2"/>
  <c r="J15" i="2"/>
  <c r="J14" i="2"/>
  <c r="J13" i="2"/>
  <c r="J12" i="2"/>
  <c r="J11" i="2"/>
  <c r="K11" i="2" s="1"/>
  <c r="J10" i="2"/>
  <c r="J9" i="2"/>
  <c r="J8" i="2"/>
  <c r="J7" i="2"/>
  <c r="J6" i="2"/>
  <c r="J5" i="2"/>
  <c r="J4" i="26"/>
  <c r="J4" i="27"/>
  <c r="J4" i="28"/>
  <c r="J4" i="29"/>
  <c r="J4" i="30"/>
  <c r="J4" i="31"/>
  <c r="J4" i="32"/>
  <c r="J4" i="33"/>
  <c r="J4" i="34"/>
  <c r="J4" i="35"/>
  <c r="J4" i="2"/>
  <c r="E21" i="26"/>
  <c r="K11" i="28"/>
  <c r="K11" i="29"/>
  <c r="K11" i="30"/>
  <c r="K11" i="31"/>
  <c r="K11" i="32"/>
  <c r="K11" i="26"/>
  <c r="V11" i="26"/>
  <c r="AJ11" i="26"/>
  <c r="AJ11" i="27"/>
  <c r="AJ11" i="28"/>
  <c r="AJ11" i="29"/>
  <c r="AJ11" i="30"/>
  <c r="AJ11" i="31"/>
  <c r="AJ11" i="32"/>
  <c r="AJ11" i="33"/>
  <c r="AJ11" i="34"/>
  <c r="AJ11" i="35"/>
  <c r="AJ11" i="2"/>
  <c r="AG11" i="2"/>
  <c r="F11" i="26" s="1"/>
  <c r="AG11" i="26" s="1"/>
  <c r="F11" i="27" s="1"/>
  <c r="AG11" i="27" s="1"/>
  <c r="F11" i="28" s="1"/>
  <c r="AG11" i="28" s="1"/>
  <c r="F11" i="29" s="1"/>
  <c r="AG11" i="29" s="1"/>
  <c r="F11" i="30" s="1"/>
  <c r="AG11" i="30" s="1"/>
  <c r="F11" i="31" s="1"/>
  <c r="AG11" i="31" s="1"/>
  <c r="F11" i="32" s="1"/>
  <c r="AG11" i="32" s="1"/>
  <c r="F11" i="33" s="1"/>
  <c r="AG11" i="33" s="1"/>
  <c r="F11" i="34" s="1"/>
  <c r="AG11" i="34" s="1"/>
  <c r="F11" i="35" s="1"/>
  <c r="AG11" i="35" s="1"/>
  <c r="V11" i="2"/>
  <c r="U11" i="2"/>
  <c r="W11" i="2" s="1"/>
  <c r="R11" i="26"/>
  <c r="P11" i="26"/>
  <c r="Q11" i="26" s="1"/>
  <c r="O11" i="26"/>
  <c r="Q12" i="1" s="1"/>
  <c r="R11" i="27"/>
  <c r="P11" i="27"/>
  <c r="Q11" i="27" s="1"/>
  <c r="O11" i="27"/>
  <c r="T12" i="1" s="1"/>
  <c r="R11" i="28"/>
  <c r="Q11" i="28"/>
  <c r="P11" i="28"/>
  <c r="O11" i="28"/>
  <c r="W12" i="1" s="1"/>
  <c r="R11" i="29"/>
  <c r="P11" i="29"/>
  <c r="Q11" i="29" s="1"/>
  <c r="O11" i="29"/>
  <c r="R11" i="30"/>
  <c r="P11" i="30"/>
  <c r="Q11" i="30" s="1"/>
  <c r="O11" i="30"/>
  <c r="R11" i="31"/>
  <c r="Q11" i="31"/>
  <c r="P11" i="31"/>
  <c r="O11" i="31"/>
  <c r="R11" i="32"/>
  <c r="Q11" i="32"/>
  <c r="P11" i="32"/>
  <c r="O11" i="32"/>
  <c r="R11" i="33"/>
  <c r="P11" i="33"/>
  <c r="Q11" i="33" s="1"/>
  <c r="O11" i="33"/>
  <c r="AL12" i="1" s="1"/>
  <c r="R11" i="34"/>
  <c r="P11" i="34"/>
  <c r="Q11" i="34" s="1"/>
  <c r="O11" i="34"/>
  <c r="AO12" i="1" s="1"/>
  <c r="R11" i="35"/>
  <c r="P11" i="35"/>
  <c r="Q11" i="35" s="1"/>
  <c r="O11" i="35"/>
  <c r="R11" i="2"/>
  <c r="P11" i="2"/>
  <c r="Q11" i="2" s="1"/>
  <c r="O11" i="2"/>
  <c r="E11" i="26"/>
  <c r="E11" i="27"/>
  <c r="E11" i="28"/>
  <c r="E11" i="29"/>
  <c r="E11" i="30"/>
  <c r="E11" i="31"/>
  <c r="E11" i="32"/>
  <c r="E11" i="33"/>
  <c r="E11" i="34"/>
  <c r="E11" i="35"/>
  <c r="H11" i="2"/>
  <c r="F11" i="2"/>
  <c r="E11" i="2"/>
  <c r="D11" i="26"/>
  <c r="C11" i="26"/>
  <c r="B11" i="26"/>
  <c r="D11" i="27"/>
  <c r="C11" i="27"/>
  <c r="B11" i="27"/>
  <c r="D11" i="28"/>
  <c r="C11" i="28"/>
  <c r="B11" i="28"/>
  <c r="D11" i="29"/>
  <c r="C11" i="29"/>
  <c r="B11" i="29"/>
  <c r="D11" i="30"/>
  <c r="C11" i="30"/>
  <c r="B11" i="30"/>
  <c r="D11" i="31"/>
  <c r="C11" i="31"/>
  <c r="B11" i="31"/>
  <c r="D11" i="32"/>
  <c r="C11" i="32"/>
  <c r="B11" i="32"/>
  <c r="D11" i="33"/>
  <c r="C11" i="33"/>
  <c r="B11" i="33"/>
  <c r="D11" i="34"/>
  <c r="C11" i="34"/>
  <c r="B11" i="34"/>
  <c r="D11" i="35"/>
  <c r="C11" i="35"/>
  <c r="B11" i="35"/>
  <c r="D11" i="2"/>
  <c r="C11" i="2"/>
  <c r="B11" i="2"/>
  <c r="AU12" i="1"/>
  <c r="AR12" i="1"/>
  <c r="AI12" i="1"/>
  <c r="AF12" i="1"/>
  <c r="AC12" i="1"/>
  <c r="Z12" i="1"/>
  <c r="N12" i="1"/>
  <c r="F12" i="1"/>
  <c r="H12" i="1"/>
  <c r="K12" i="1"/>
  <c r="J12" i="1"/>
  <c r="I12" i="1"/>
  <c r="O13" i="44"/>
  <c r="P13" i="44"/>
  <c r="M13" i="44"/>
  <c r="N13" i="44"/>
  <c r="N11" i="2" l="1"/>
  <c r="T11" i="2" s="1"/>
  <c r="Y11" i="2"/>
  <c r="G12" i="1"/>
  <c r="E12" i="1"/>
  <c r="P4" i="2" l="1"/>
  <c r="P4" i="35"/>
  <c r="P4" i="34"/>
  <c r="P4" i="33"/>
  <c r="P4" i="32"/>
  <c r="P4" i="31"/>
  <c r="P4" i="30"/>
  <c r="P4" i="29"/>
  <c r="P4" i="28"/>
  <c r="P4" i="27"/>
  <c r="P4" i="26"/>
  <c r="U4" i="2" l="1"/>
  <c r="AA31" i="2"/>
  <c r="E21" i="2" s="1"/>
  <c r="O6" i="44"/>
  <c r="N20" i="44"/>
  <c r="K6" i="44"/>
  <c r="K19" i="1"/>
  <c r="K18" i="1"/>
  <c r="K17" i="1"/>
  <c r="K16" i="1"/>
  <c r="K15" i="1"/>
  <c r="K14" i="1"/>
  <c r="K13" i="1"/>
  <c r="K11" i="1"/>
  <c r="K10" i="1"/>
  <c r="K9" i="1"/>
  <c r="K8" i="1"/>
  <c r="K7" i="1"/>
  <c r="K6" i="1"/>
  <c r="J19" i="1"/>
  <c r="J18" i="1"/>
  <c r="J17" i="1"/>
  <c r="J16" i="1"/>
  <c r="J15" i="1"/>
  <c r="J14" i="1"/>
  <c r="J13" i="1"/>
  <c r="J11" i="1"/>
  <c r="J10" i="1"/>
  <c r="J9" i="1"/>
  <c r="J8" i="1"/>
  <c r="J7" i="1"/>
  <c r="J6" i="1"/>
  <c r="I19" i="1"/>
  <c r="I18" i="1"/>
  <c r="I17" i="1"/>
  <c r="I16" i="1"/>
  <c r="I15" i="1"/>
  <c r="I14" i="1"/>
  <c r="I13" i="1"/>
  <c r="I11" i="1"/>
  <c r="I10" i="1"/>
  <c r="I9" i="1"/>
  <c r="I8" i="1"/>
  <c r="I7" i="1"/>
  <c r="I6" i="1"/>
  <c r="H19" i="1"/>
  <c r="H18" i="1"/>
  <c r="H17" i="1"/>
  <c r="H16" i="1"/>
  <c r="H15" i="1"/>
  <c r="H14" i="1"/>
  <c r="H13" i="1"/>
  <c r="H11" i="1"/>
  <c r="H10" i="1"/>
  <c r="H9" i="1"/>
  <c r="H8" i="1"/>
  <c r="H7" i="1"/>
  <c r="H6" i="1"/>
  <c r="K5" i="1"/>
  <c r="J5" i="1"/>
  <c r="I5" i="1"/>
  <c r="H5" i="1"/>
  <c r="K19" i="44" l="1"/>
  <c r="M8" i="44"/>
  <c r="M6" i="44"/>
  <c r="L20" i="44"/>
  <c r="L19" i="44"/>
  <c r="L18" i="44"/>
  <c r="L17" i="44"/>
  <c r="L16" i="44"/>
  <c r="L15" i="44"/>
  <c r="L14" i="44"/>
  <c r="L12" i="44"/>
  <c r="L11" i="44"/>
  <c r="L10" i="44"/>
  <c r="L9" i="44"/>
  <c r="L8" i="44"/>
  <c r="L7" i="44"/>
  <c r="K20" i="44"/>
  <c r="K18" i="44"/>
  <c r="K17" i="44"/>
  <c r="K16" i="44"/>
  <c r="K15" i="44"/>
  <c r="K14" i="44"/>
  <c r="K12" i="44"/>
  <c r="K11" i="44"/>
  <c r="K10" i="44"/>
  <c r="K9" i="44"/>
  <c r="K8" i="44"/>
  <c r="K7" i="44"/>
  <c r="L6" i="44"/>
  <c r="G7" i="44"/>
  <c r="M7" i="44" l="1"/>
  <c r="N7" i="44"/>
  <c r="H17" i="32"/>
  <c r="F17" i="32"/>
  <c r="AG17" i="32" s="1"/>
  <c r="H6" i="32"/>
  <c r="F6" i="32"/>
  <c r="AG6" i="32" s="1"/>
  <c r="P8" i="44"/>
  <c r="O8" i="44"/>
  <c r="N8" i="44"/>
  <c r="K18" i="31" l="1"/>
  <c r="AJ6" i="26" l="1"/>
  <c r="V6" i="26"/>
  <c r="U6" i="26"/>
  <c r="R6" i="26"/>
  <c r="P6" i="26"/>
  <c r="Q6" i="26" s="1"/>
  <c r="O6" i="26"/>
  <c r="Q7" i="1" s="1"/>
  <c r="K6" i="26"/>
  <c r="E6" i="26"/>
  <c r="AJ6" i="27"/>
  <c r="V6" i="27"/>
  <c r="U6" i="27"/>
  <c r="P6" i="27"/>
  <c r="Q6" i="27" s="1"/>
  <c r="O6" i="27"/>
  <c r="T7" i="1" s="1"/>
  <c r="K6" i="27"/>
  <c r="E6" i="27"/>
  <c r="AJ6" i="28"/>
  <c r="V6" i="28"/>
  <c r="U6" i="28"/>
  <c r="P6" i="28"/>
  <c r="Q6" i="28" s="1"/>
  <c r="O6" i="28"/>
  <c r="W7" i="1" s="1"/>
  <c r="K6" i="28"/>
  <c r="E6" i="28"/>
  <c r="AJ6" i="29"/>
  <c r="V6" i="29"/>
  <c r="U6" i="29"/>
  <c r="P6" i="29"/>
  <c r="Q6" i="29" s="1"/>
  <c r="O6" i="29"/>
  <c r="Z7" i="1" s="1"/>
  <c r="K6" i="29"/>
  <c r="E6" i="29"/>
  <c r="AJ6" i="30"/>
  <c r="V6" i="30"/>
  <c r="U6" i="30"/>
  <c r="P6" i="30"/>
  <c r="Q6" i="30" s="1"/>
  <c r="O6" i="30"/>
  <c r="AC7" i="1" s="1"/>
  <c r="K6" i="30"/>
  <c r="E6" i="30"/>
  <c r="AJ6" i="31"/>
  <c r="V6" i="31"/>
  <c r="U6" i="31"/>
  <c r="R6" i="31"/>
  <c r="P6" i="31"/>
  <c r="Q6" i="31" s="1"/>
  <c r="O6" i="31"/>
  <c r="AF7" i="1" s="1"/>
  <c r="K6" i="31"/>
  <c r="E6" i="31"/>
  <c r="AJ6" i="32"/>
  <c r="V6" i="32"/>
  <c r="U6" i="32"/>
  <c r="P6" i="32"/>
  <c r="Q6" i="32" s="1"/>
  <c r="O6" i="32"/>
  <c r="AI7" i="1" s="1"/>
  <c r="K6" i="32"/>
  <c r="E6" i="32"/>
  <c r="AJ6" i="33"/>
  <c r="V6" i="33"/>
  <c r="U6" i="33"/>
  <c r="P6" i="33"/>
  <c r="Q6" i="33" s="1"/>
  <c r="O6" i="33"/>
  <c r="AL7" i="1" s="1"/>
  <c r="K6" i="33"/>
  <c r="E6" i="33"/>
  <c r="AJ6" i="34"/>
  <c r="V6" i="34"/>
  <c r="U6" i="34"/>
  <c r="R6" i="34"/>
  <c r="P6" i="34"/>
  <c r="Q6" i="34" s="1"/>
  <c r="O6" i="34"/>
  <c r="AO7" i="1" s="1"/>
  <c r="K6" i="34"/>
  <c r="E6" i="34"/>
  <c r="AJ6" i="35"/>
  <c r="V6" i="35"/>
  <c r="U6" i="35"/>
  <c r="P6" i="35"/>
  <c r="Q6" i="35" s="1"/>
  <c r="O6" i="35"/>
  <c r="AR7" i="1" s="1"/>
  <c r="K6" i="35"/>
  <c r="E6" i="35"/>
  <c r="AJ6" i="2"/>
  <c r="R6" i="2"/>
  <c r="P6" i="2"/>
  <c r="Q6" i="2" s="1"/>
  <c r="O6" i="2"/>
  <c r="N7" i="1" s="1"/>
  <c r="K6" i="2"/>
  <c r="H6" i="2"/>
  <c r="F6" i="2"/>
  <c r="E6" i="2"/>
  <c r="F7" i="1"/>
  <c r="AU7" i="1"/>
  <c r="AG6" i="2" l="1"/>
  <c r="F6" i="26" s="1"/>
  <c r="AG6" i="26" s="1"/>
  <c r="F6" i="27" s="1"/>
  <c r="U6" i="2"/>
  <c r="W6" i="2" s="1"/>
  <c r="W6" i="34"/>
  <c r="W6" i="31"/>
  <c r="W6" i="26"/>
  <c r="G7" i="1"/>
  <c r="E7" i="1"/>
  <c r="AA31" i="26"/>
  <c r="AA31" i="27"/>
  <c r="E21" i="27" s="1"/>
  <c r="AA31" i="28"/>
  <c r="AA31" i="29"/>
  <c r="AA31" i="30"/>
  <c r="AA31" i="31"/>
  <c r="AA31" i="32"/>
  <c r="AA31" i="33"/>
  <c r="AA31" i="34"/>
  <c r="E21" i="34" s="1"/>
  <c r="O20" i="44"/>
  <c r="O19" i="44"/>
  <c r="O18" i="44"/>
  <c r="O17" i="44"/>
  <c r="O16" i="44"/>
  <c r="O15" i="44"/>
  <c r="O14" i="44"/>
  <c r="O12" i="44"/>
  <c r="O11" i="44"/>
  <c r="O10" i="44"/>
  <c r="O9" i="44"/>
  <c r="O7" i="44"/>
  <c r="M20" i="44"/>
  <c r="M19" i="44"/>
  <c r="M18" i="44"/>
  <c r="M17" i="44"/>
  <c r="M16" i="44"/>
  <c r="M15" i="44"/>
  <c r="M14" i="44"/>
  <c r="M12" i="44"/>
  <c r="M11" i="44"/>
  <c r="M10" i="44"/>
  <c r="M9" i="44"/>
  <c r="AG6" i="27" l="1"/>
  <c r="F6" i="28" s="1"/>
  <c r="N6" i="2"/>
  <c r="T6" i="2" s="1"/>
  <c r="N6" i="34"/>
  <c r="T6" i="34" s="1"/>
  <c r="Y6" i="34"/>
  <c r="Y6" i="26"/>
  <c r="N6" i="26"/>
  <c r="T6" i="26" s="1"/>
  <c r="N6" i="31"/>
  <c r="T6" i="31" s="1"/>
  <c r="AJ3" i="26"/>
  <c r="AJ3" i="27"/>
  <c r="AJ3" i="28"/>
  <c r="AJ3" i="29"/>
  <c r="AJ3" i="30"/>
  <c r="AJ3" i="31"/>
  <c r="AJ3" i="32"/>
  <c r="AJ3" i="33"/>
  <c r="AJ3" i="34"/>
  <c r="AJ3" i="35"/>
  <c r="AJ3" i="2"/>
  <c r="V4" i="26"/>
  <c r="V4" i="27"/>
  <c r="V4" i="28"/>
  <c r="V4" i="29"/>
  <c r="V4" i="31"/>
  <c r="V4" i="32"/>
  <c r="V4" i="33"/>
  <c r="V4" i="34"/>
  <c r="V4" i="35"/>
  <c r="V17" i="26"/>
  <c r="V17" i="27"/>
  <c r="V17" i="28"/>
  <c r="V17" i="29"/>
  <c r="V17" i="30"/>
  <c r="V17" i="31"/>
  <c r="V17" i="32"/>
  <c r="V17" i="33"/>
  <c r="V17" i="34"/>
  <c r="V17" i="35"/>
  <c r="U4" i="26"/>
  <c r="U4" i="27"/>
  <c r="U4" i="28"/>
  <c r="U4" i="29"/>
  <c r="U4" i="31"/>
  <c r="U4" i="32"/>
  <c r="U4" i="33"/>
  <c r="U4" i="34"/>
  <c r="U4" i="35"/>
  <c r="E18" i="26"/>
  <c r="E17" i="26"/>
  <c r="E16" i="26"/>
  <c r="E15" i="26"/>
  <c r="E14" i="26"/>
  <c r="E13" i="26"/>
  <c r="E12" i="26"/>
  <c r="E10" i="26"/>
  <c r="E9" i="26"/>
  <c r="E8" i="26"/>
  <c r="E7" i="26"/>
  <c r="E5" i="26"/>
  <c r="E18" i="27"/>
  <c r="E17" i="27"/>
  <c r="E16" i="27"/>
  <c r="E15" i="27"/>
  <c r="E14" i="27"/>
  <c r="E13" i="27"/>
  <c r="E12" i="27"/>
  <c r="E10" i="27"/>
  <c r="E9" i="27"/>
  <c r="E8" i="27"/>
  <c r="E7" i="27"/>
  <c r="E5" i="27"/>
  <c r="E18" i="28"/>
  <c r="E17" i="28"/>
  <c r="E16" i="28"/>
  <c r="E15" i="28"/>
  <c r="E14" i="28"/>
  <c r="E13" i="28"/>
  <c r="E12" i="28"/>
  <c r="E10" i="28"/>
  <c r="E9" i="28"/>
  <c r="E8" i="28"/>
  <c r="E7" i="28"/>
  <c r="E5" i="28"/>
  <c r="E18" i="29"/>
  <c r="E17" i="29"/>
  <c r="E16" i="29"/>
  <c r="E15" i="29"/>
  <c r="E14" i="29"/>
  <c r="E13" i="29"/>
  <c r="E12" i="29"/>
  <c r="E10" i="29"/>
  <c r="E9" i="29"/>
  <c r="E8" i="29"/>
  <c r="E7" i="29"/>
  <c r="E5" i="29"/>
  <c r="E18" i="30"/>
  <c r="E17" i="30"/>
  <c r="E16" i="30"/>
  <c r="E15" i="30"/>
  <c r="E14" i="30"/>
  <c r="E13" i="30"/>
  <c r="E12" i="30"/>
  <c r="E10" i="30"/>
  <c r="E9" i="30"/>
  <c r="E8" i="30"/>
  <c r="E7" i="30"/>
  <c r="E5" i="30"/>
  <c r="E18" i="31"/>
  <c r="E17" i="31"/>
  <c r="E16" i="31"/>
  <c r="E15" i="31"/>
  <c r="E14" i="31"/>
  <c r="E13" i="31"/>
  <c r="E12" i="31"/>
  <c r="E10" i="31"/>
  <c r="E9" i="31"/>
  <c r="E8" i="31"/>
  <c r="E7" i="31"/>
  <c r="E5" i="31"/>
  <c r="E18" i="32"/>
  <c r="E17" i="32"/>
  <c r="E16" i="32"/>
  <c r="E15" i="32"/>
  <c r="E14" i="32"/>
  <c r="E13" i="32"/>
  <c r="E12" i="32"/>
  <c r="E10" i="32"/>
  <c r="E9" i="32"/>
  <c r="E8" i="32"/>
  <c r="E7" i="32"/>
  <c r="E5" i="32"/>
  <c r="E18" i="33"/>
  <c r="E17" i="33"/>
  <c r="E16" i="33"/>
  <c r="E15" i="33"/>
  <c r="E14" i="33"/>
  <c r="E13" i="33"/>
  <c r="E12" i="33"/>
  <c r="E10" i="33"/>
  <c r="E9" i="33"/>
  <c r="E8" i="33"/>
  <c r="E7" i="33"/>
  <c r="E5" i="33"/>
  <c r="E18" i="34"/>
  <c r="E17" i="34"/>
  <c r="E16" i="34"/>
  <c r="E15" i="34"/>
  <c r="E14" i="34"/>
  <c r="E13" i="34"/>
  <c r="E12" i="34"/>
  <c r="E10" i="34"/>
  <c r="E9" i="34"/>
  <c r="E8" i="34"/>
  <c r="E7" i="34"/>
  <c r="E5" i="34"/>
  <c r="E18" i="35"/>
  <c r="E17" i="35"/>
  <c r="E16" i="35"/>
  <c r="E15" i="35"/>
  <c r="E14" i="35"/>
  <c r="E13" i="35"/>
  <c r="E12" i="35"/>
  <c r="E10" i="35"/>
  <c r="E9" i="35"/>
  <c r="E8" i="35"/>
  <c r="E7" i="35"/>
  <c r="E5" i="35"/>
  <c r="E18" i="2"/>
  <c r="E17" i="2"/>
  <c r="E16" i="2"/>
  <c r="E15" i="2"/>
  <c r="E14" i="2"/>
  <c r="E13" i="2"/>
  <c r="E12" i="2"/>
  <c r="E10" i="2"/>
  <c r="E9" i="2"/>
  <c r="E8" i="2"/>
  <c r="E7" i="2"/>
  <c r="E5" i="2"/>
  <c r="E4" i="26"/>
  <c r="E4" i="27"/>
  <c r="E4" i="28"/>
  <c r="E4" i="29"/>
  <c r="E4" i="30"/>
  <c r="E4" i="31"/>
  <c r="E4" i="32"/>
  <c r="E4" i="33"/>
  <c r="E4" i="34"/>
  <c r="E4" i="35"/>
  <c r="E4" i="2"/>
  <c r="P20" i="44"/>
  <c r="P19" i="44"/>
  <c r="P18" i="44"/>
  <c r="P17" i="44"/>
  <c r="P16" i="44"/>
  <c r="P15" i="44"/>
  <c r="P14" i="44"/>
  <c r="P12" i="44"/>
  <c r="P11" i="44"/>
  <c r="P10" i="44"/>
  <c r="P9" i="44"/>
  <c r="P7" i="44"/>
  <c r="P6" i="44"/>
  <c r="N19" i="44"/>
  <c r="N18" i="44"/>
  <c r="N17" i="44"/>
  <c r="N16" i="44"/>
  <c r="N15" i="44"/>
  <c r="N14" i="44"/>
  <c r="N12" i="44"/>
  <c r="N11" i="44"/>
  <c r="N10" i="44"/>
  <c r="N9" i="44"/>
  <c r="N6" i="44"/>
  <c r="AG6" i="28" l="1"/>
  <c r="F6" i="29" s="1"/>
  <c r="R13" i="26"/>
  <c r="R5" i="26"/>
  <c r="R13" i="27"/>
  <c r="R12" i="27"/>
  <c r="R5" i="27"/>
  <c r="R18" i="28"/>
  <c r="R17" i="28"/>
  <c r="R13" i="28"/>
  <c r="R12" i="28"/>
  <c r="R7" i="28"/>
  <c r="R5" i="28"/>
  <c r="R18" i="29"/>
  <c r="R16" i="29"/>
  <c r="R13" i="29"/>
  <c r="R12" i="29"/>
  <c r="R18" i="30"/>
  <c r="R16" i="30"/>
  <c r="R13" i="30"/>
  <c r="R12" i="30"/>
  <c r="R7" i="30"/>
  <c r="R18" i="31"/>
  <c r="R13" i="31"/>
  <c r="R18" i="32"/>
  <c r="R17" i="32"/>
  <c r="R16" i="32"/>
  <c r="R13" i="32"/>
  <c r="R18" i="33"/>
  <c r="R5" i="33"/>
  <c r="R18" i="34"/>
  <c r="R13" i="34"/>
  <c r="R12" i="34"/>
  <c r="R12" i="35"/>
  <c r="R7" i="35"/>
  <c r="R17" i="2"/>
  <c r="R16" i="2"/>
  <c r="R13" i="2"/>
  <c r="R12" i="2"/>
  <c r="R5" i="2"/>
  <c r="Q4" i="26"/>
  <c r="Q4" i="27"/>
  <c r="Q4" i="28"/>
  <c r="Q4" i="29"/>
  <c r="Q4" i="30"/>
  <c r="Q4" i="31"/>
  <c r="Q4" i="32"/>
  <c r="Q4" i="33"/>
  <c r="Q4" i="34"/>
  <c r="Q4" i="35"/>
  <c r="Q4" i="2"/>
  <c r="E25" i="26"/>
  <c r="E25" i="27"/>
  <c r="E25" i="28"/>
  <c r="E25" i="29"/>
  <c r="E25" i="30"/>
  <c r="E25" i="31"/>
  <c r="E25" i="32"/>
  <c r="E25" i="33"/>
  <c r="E25" i="34"/>
  <c r="E25" i="35"/>
  <c r="E25" i="2"/>
  <c r="E37" i="26"/>
  <c r="E37" i="27"/>
  <c r="E37" i="28"/>
  <c r="E37" i="29"/>
  <c r="E37" i="30"/>
  <c r="E37" i="31"/>
  <c r="E37" i="32"/>
  <c r="E37" i="33"/>
  <c r="E37" i="34"/>
  <c r="E37" i="35"/>
  <c r="E37" i="2"/>
  <c r="P13" i="32"/>
  <c r="Q13" i="32" s="1"/>
  <c r="AG6" i="29" l="1"/>
  <c r="F6" i="30" s="1"/>
  <c r="H4" i="2"/>
  <c r="V18" i="26"/>
  <c r="V8" i="26"/>
  <c r="V16" i="26"/>
  <c r="V15" i="26"/>
  <c r="V14" i="26"/>
  <c r="V13" i="26"/>
  <c r="V12" i="26"/>
  <c r="V10" i="26"/>
  <c r="V9" i="26"/>
  <c r="V5" i="26"/>
  <c r="V7" i="26"/>
  <c r="V18" i="27"/>
  <c r="V8" i="27"/>
  <c r="V16" i="27"/>
  <c r="V14" i="27"/>
  <c r="V13" i="27"/>
  <c r="V12" i="27"/>
  <c r="V10" i="27"/>
  <c r="V9" i="27"/>
  <c r="V5" i="27"/>
  <c r="V7" i="27"/>
  <c r="V18" i="28"/>
  <c r="V8" i="28"/>
  <c r="V16" i="28"/>
  <c r="V15" i="28"/>
  <c r="V14" i="28"/>
  <c r="V13" i="28"/>
  <c r="V12" i="28"/>
  <c r="V10" i="28"/>
  <c r="V9" i="28"/>
  <c r="V5" i="28"/>
  <c r="V7" i="28"/>
  <c r="V18" i="29"/>
  <c r="V8" i="29"/>
  <c r="V16" i="29"/>
  <c r="V14" i="29"/>
  <c r="V13" i="29"/>
  <c r="V12" i="29"/>
  <c r="V10" i="29"/>
  <c r="V9" i="29"/>
  <c r="V5" i="29"/>
  <c r="V7" i="29"/>
  <c r="V18" i="30"/>
  <c r="V8" i="30"/>
  <c r="V16" i="30"/>
  <c r="V15" i="30"/>
  <c r="V14" i="30"/>
  <c r="V13" i="30"/>
  <c r="V12" i="30"/>
  <c r="V10" i="30"/>
  <c r="V9" i="30"/>
  <c r="V7" i="30"/>
  <c r="V18" i="32"/>
  <c r="V8" i="32"/>
  <c r="V16" i="32"/>
  <c r="V14" i="32"/>
  <c r="V13" i="32"/>
  <c r="V12" i="32"/>
  <c r="V10" i="32"/>
  <c r="V9" i="32"/>
  <c r="V5" i="32"/>
  <c r="V7" i="32"/>
  <c r="V18" i="33"/>
  <c r="V8" i="33"/>
  <c r="V16" i="33"/>
  <c r="V15" i="33"/>
  <c r="V14" i="33"/>
  <c r="V13" i="33"/>
  <c r="V12" i="33"/>
  <c r="V10" i="33"/>
  <c r="V9" i="33"/>
  <c r="V5" i="33"/>
  <c r="V7" i="33"/>
  <c r="V18" i="34"/>
  <c r="V8" i="34"/>
  <c r="V16" i="34"/>
  <c r="V15" i="34"/>
  <c r="V14" i="34"/>
  <c r="V13" i="34"/>
  <c r="V12" i="34"/>
  <c r="V10" i="34"/>
  <c r="V9" i="34"/>
  <c r="V5" i="34"/>
  <c r="V7" i="34"/>
  <c r="V18" i="35"/>
  <c r="V8" i="35"/>
  <c r="V16" i="35"/>
  <c r="V15" i="35"/>
  <c r="V14" i="35"/>
  <c r="V13" i="35"/>
  <c r="V12" i="35"/>
  <c r="V10" i="35"/>
  <c r="V9" i="35"/>
  <c r="V5" i="35"/>
  <c r="V7" i="35"/>
  <c r="V18" i="31"/>
  <c r="V8" i="31"/>
  <c r="V16" i="31"/>
  <c r="V14" i="31"/>
  <c r="V13" i="31"/>
  <c r="V12" i="31"/>
  <c r="V10" i="31"/>
  <c r="V9" i="31"/>
  <c r="V5" i="31"/>
  <c r="V7" i="31"/>
  <c r="AG6" i="30" l="1"/>
  <c r="F6" i="31" s="1"/>
  <c r="F18" i="1"/>
  <c r="F19" i="1"/>
  <c r="F9" i="1"/>
  <c r="F17" i="1"/>
  <c r="F16" i="1"/>
  <c r="F15" i="1"/>
  <c r="F14" i="1"/>
  <c r="F13" i="1"/>
  <c r="F11" i="1"/>
  <c r="F10" i="1"/>
  <c r="F6" i="1"/>
  <c r="F8" i="1"/>
  <c r="F5" i="1"/>
  <c r="H17" i="2"/>
  <c r="H18" i="2"/>
  <c r="H8" i="2"/>
  <c r="H16" i="2"/>
  <c r="H15" i="2"/>
  <c r="H14" i="2"/>
  <c r="H13" i="2"/>
  <c r="H12" i="2"/>
  <c r="H10" i="2"/>
  <c r="H9" i="2"/>
  <c r="H5" i="2"/>
  <c r="H7" i="2"/>
  <c r="F17" i="2"/>
  <c r="AG17" i="2" s="1"/>
  <c r="F18" i="2"/>
  <c r="AG18" i="2" s="1"/>
  <c r="F8" i="2"/>
  <c r="AG8" i="2" s="1"/>
  <c r="F16" i="2"/>
  <c r="AG16" i="2" s="1"/>
  <c r="F15" i="2"/>
  <c r="AG15" i="2" s="1"/>
  <c r="F14" i="2"/>
  <c r="AG14" i="2" s="1"/>
  <c r="F13" i="2"/>
  <c r="AG13" i="2" s="1"/>
  <c r="F12" i="2"/>
  <c r="AG12" i="2" s="1"/>
  <c r="F10" i="2"/>
  <c r="AG10" i="2" s="1"/>
  <c r="F9" i="2"/>
  <c r="AG9" i="2" s="1"/>
  <c r="F5" i="2"/>
  <c r="AG5" i="2" s="1"/>
  <c r="F7" i="2"/>
  <c r="AG7" i="2" s="1"/>
  <c r="R4" i="2"/>
  <c r="W4" i="2" s="1"/>
  <c r="N4" i="2" s="1"/>
  <c r="F4" i="2"/>
  <c r="AG4" i="2" s="1"/>
  <c r="AU18" i="1"/>
  <c r="AU19" i="1"/>
  <c r="AU9" i="1"/>
  <c r="AU17" i="1"/>
  <c r="AU16" i="1"/>
  <c r="AU15" i="1"/>
  <c r="AU14" i="1"/>
  <c r="AU13" i="1"/>
  <c r="AU11" i="1"/>
  <c r="AU10" i="1"/>
  <c r="AU8" i="1"/>
  <c r="AU5" i="1"/>
  <c r="AT23" i="1"/>
  <c r="AT22" i="1"/>
  <c r="AQ23" i="1"/>
  <c r="AQ22" i="1"/>
  <c r="AN23" i="1"/>
  <c r="AN22" i="1"/>
  <c r="AK23" i="1"/>
  <c r="AK22" i="1"/>
  <c r="AH23" i="1"/>
  <c r="AH22" i="1"/>
  <c r="AE23" i="1"/>
  <c r="AE22" i="1"/>
  <c r="AB23" i="1"/>
  <c r="AB22" i="1"/>
  <c r="Y23" i="1"/>
  <c r="Y22" i="1"/>
  <c r="V23" i="1"/>
  <c r="V22" i="1"/>
  <c r="S23" i="1"/>
  <c r="S22" i="1"/>
  <c r="R8" i="2" l="1"/>
  <c r="R14" i="2"/>
  <c r="F6" i="33"/>
  <c r="AG6" i="33" s="1"/>
  <c r="F6" i="34" s="1"/>
  <c r="AG6" i="34" s="1"/>
  <c r="F6" i="35" s="1"/>
  <c r="AG6" i="35" s="1"/>
  <c r="AG6" i="31"/>
  <c r="R9" i="2"/>
  <c r="R10" i="2"/>
  <c r="R18" i="2"/>
  <c r="R7" i="2"/>
  <c r="U17" i="35"/>
  <c r="P17" i="35"/>
  <c r="O17" i="35"/>
  <c r="AR18" i="1" s="1"/>
  <c r="K17" i="35"/>
  <c r="D17" i="35"/>
  <c r="C17" i="35"/>
  <c r="B17" i="35"/>
  <c r="AJ17" i="35" s="1"/>
  <c r="U18" i="35"/>
  <c r="P18" i="35"/>
  <c r="O18" i="35"/>
  <c r="AR19" i="1" s="1"/>
  <c r="K18" i="35"/>
  <c r="D18" i="35"/>
  <c r="C18" i="35"/>
  <c r="B18" i="35"/>
  <c r="AJ18" i="35" s="1"/>
  <c r="U8" i="35"/>
  <c r="P8" i="35"/>
  <c r="Q8" i="35" s="1"/>
  <c r="O8" i="35"/>
  <c r="AR9" i="1" s="1"/>
  <c r="K8" i="35"/>
  <c r="D8" i="35"/>
  <c r="C8" i="35"/>
  <c r="B8" i="35"/>
  <c r="AJ8" i="35" s="1"/>
  <c r="U16" i="35"/>
  <c r="P16" i="35"/>
  <c r="O16" i="35"/>
  <c r="AR17" i="1" s="1"/>
  <c r="K16" i="35"/>
  <c r="D16" i="35"/>
  <c r="C16" i="35"/>
  <c r="B16" i="35"/>
  <c r="AJ16" i="35" s="1"/>
  <c r="U15" i="35"/>
  <c r="P15" i="35"/>
  <c r="Q15" i="35" s="1"/>
  <c r="O15" i="35"/>
  <c r="AR16" i="1" s="1"/>
  <c r="K15" i="35"/>
  <c r="D15" i="35"/>
  <c r="C15" i="35"/>
  <c r="B15" i="35"/>
  <c r="AJ15" i="35" s="1"/>
  <c r="U14" i="35"/>
  <c r="P14" i="35"/>
  <c r="Q14" i="35" s="1"/>
  <c r="O14" i="35"/>
  <c r="AR15" i="1" s="1"/>
  <c r="K14" i="35"/>
  <c r="D14" i="35"/>
  <c r="C14" i="35"/>
  <c r="B14" i="35"/>
  <c r="AJ14" i="35" s="1"/>
  <c r="U13" i="35"/>
  <c r="P13" i="35"/>
  <c r="O13" i="35"/>
  <c r="AR14" i="1" s="1"/>
  <c r="K13" i="35"/>
  <c r="D13" i="35"/>
  <c r="C13" i="35"/>
  <c r="B13" i="35"/>
  <c r="AJ13" i="35" s="1"/>
  <c r="U12" i="35"/>
  <c r="P12" i="35"/>
  <c r="O12" i="35"/>
  <c r="AR13" i="1" s="1"/>
  <c r="K12" i="35"/>
  <c r="D12" i="35"/>
  <c r="C12" i="35"/>
  <c r="B12" i="35"/>
  <c r="AJ12" i="35" s="1"/>
  <c r="U10" i="35"/>
  <c r="P10" i="35"/>
  <c r="Q10" i="35" s="1"/>
  <c r="O10" i="35"/>
  <c r="AR11" i="1" s="1"/>
  <c r="K10" i="35"/>
  <c r="D10" i="35"/>
  <c r="C10" i="35"/>
  <c r="B10" i="35"/>
  <c r="AJ10" i="35" s="1"/>
  <c r="U9" i="35"/>
  <c r="P9" i="35"/>
  <c r="Q9" i="35" s="1"/>
  <c r="O9" i="35"/>
  <c r="AR10" i="1" s="1"/>
  <c r="K9" i="35"/>
  <c r="D9" i="35"/>
  <c r="C9" i="35"/>
  <c r="B9" i="35"/>
  <c r="AJ9" i="35" s="1"/>
  <c r="U5" i="35"/>
  <c r="P5" i="35"/>
  <c r="Q5" i="35" s="1"/>
  <c r="O5" i="35"/>
  <c r="AR6" i="1" s="1"/>
  <c r="K5" i="35"/>
  <c r="D5" i="35"/>
  <c r="C5" i="35"/>
  <c r="U7" i="35"/>
  <c r="P7" i="35"/>
  <c r="O7" i="35"/>
  <c r="AR8" i="1" s="1"/>
  <c r="K7" i="35"/>
  <c r="D7" i="35"/>
  <c r="C7" i="35"/>
  <c r="B7" i="35"/>
  <c r="AJ7" i="35" s="1"/>
  <c r="O4" i="35"/>
  <c r="AR5" i="1" s="1"/>
  <c r="K4" i="35"/>
  <c r="D4" i="35"/>
  <c r="C4" i="35"/>
  <c r="B4" i="35"/>
  <c r="AJ4" i="35" s="1"/>
  <c r="U17" i="34"/>
  <c r="P17" i="34"/>
  <c r="Q17" i="34" s="1"/>
  <c r="O17" i="34"/>
  <c r="AO18" i="1" s="1"/>
  <c r="K17" i="34"/>
  <c r="D17" i="34"/>
  <c r="C17" i="34"/>
  <c r="B17" i="34"/>
  <c r="AJ17" i="34" s="1"/>
  <c r="U18" i="34"/>
  <c r="P18" i="34"/>
  <c r="Q18" i="34" s="1"/>
  <c r="O18" i="34"/>
  <c r="AO19" i="1" s="1"/>
  <c r="K18" i="34"/>
  <c r="D18" i="34"/>
  <c r="C18" i="34"/>
  <c r="B18" i="34"/>
  <c r="AJ18" i="34" s="1"/>
  <c r="U8" i="34"/>
  <c r="P8" i="34"/>
  <c r="O8" i="34"/>
  <c r="AO9" i="1" s="1"/>
  <c r="K8" i="34"/>
  <c r="D8" i="34"/>
  <c r="C8" i="34"/>
  <c r="B8" i="34"/>
  <c r="AJ8" i="34" s="1"/>
  <c r="U16" i="34"/>
  <c r="P16" i="34"/>
  <c r="O16" i="34"/>
  <c r="AO17" i="1" s="1"/>
  <c r="K16" i="34"/>
  <c r="D16" i="34"/>
  <c r="C16" i="34"/>
  <c r="B16" i="34"/>
  <c r="AJ16" i="34" s="1"/>
  <c r="U15" i="34"/>
  <c r="P15" i="34"/>
  <c r="O15" i="34"/>
  <c r="AO16" i="1" s="1"/>
  <c r="K15" i="34"/>
  <c r="D15" i="34"/>
  <c r="C15" i="34"/>
  <c r="B15" i="34"/>
  <c r="AJ15" i="34" s="1"/>
  <c r="U14" i="34"/>
  <c r="P14" i="34"/>
  <c r="Q14" i="34" s="1"/>
  <c r="O14" i="34"/>
  <c r="AO15" i="1" s="1"/>
  <c r="K14" i="34"/>
  <c r="D14" i="34"/>
  <c r="C14" i="34"/>
  <c r="B14" i="34"/>
  <c r="AJ14" i="34" s="1"/>
  <c r="U13" i="34"/>
  <c r="P13" i="34"/>
  <c r="O13" i="34"/>
  <c r="AO14" i="1" s="1"/>
  <c r="K13" i="34"/>
  <c r="D13" i="34"/>
  <c r="C13" i="34"/>
  <c r="B13" i="34"/>
  <c r="AJ13" i="34" s="1"/>
  <c r="U12" i="34"/>
  <c r="P12" i="34"/>
  <c r="O12" i="34"/>
  <c r="AO13" i="1" s="1"/>
  <c r="K12" i="34"/>
  <c r="D12" i="34"/>
  <c r="C12" i="34"/>
  <c r="B12" i="34"/>
  <c r="AJ12" i="34" s="1"/>
  <c r="U10" i="34"/>
  <c r="P10" i="34"/>
  <c r="Q10" i="34" s="1"/>
  <c r="O10" i="34"/>
  <c r="AO11" i="1" s="1"/>
  <c r="K10" i="34"/>
  <c r="D10" i="34"/>
  <c r="C10" i="34"/>
  <c r="B10" i="34"/>
  <c r="AJ10" i="34" s="1"/>
  <c r="U9" i="34"/>
  <c r="P9" i="34"/>
  <c r="Q9" i="34" s="1"/>
  <c r="O9" i="34"/>
  <c r="AO10" i="1" s="1"/>
  <c r="K9" i="34"/>
  <c r="D9" i="34"/>
  <c r="C9" i="34"/>
  <c r="B9" i="34"/>
  <c r="AJ9" i="34" s="1"/>
  <c r="U5" i="34"/>
  <c r="P5" i="34"/>
  <c r="O5" i="34"/>
  <c r="AO6" i="1" s="1"/>
  <c r="K5" i="34"/>
  <c r="D5" i="34"/>
  <c r="C5" i="34"/>
  <c r="U7" i="34"/>
  <c r="P7" i="34"/>
  <c r="Q7" i="34" s="1"/>
  <c r="O7" i="34"/>
  <c r="AO8" i="1" s="1"/>
  <c r="K7" i="34"/>
  <c r="D7" i="34"/>
  <c r="C7" i="34"/>
  <c r="B7" i="34"/>
  <c r="AJ7" i="34" s="1"/>
  <c r="O4" i="34"/>
  <c r="AO5" i="1" s="1"/>
  <c r="K4" i="34"/>
  <c r="D4" i="34"/>
  <c r="C4" i="34"/>
  <c r="B4" i="34"/>
  <c r="AJ4" i="34" s="1"/>
  <c r="U17" i="33"/>
  <c r="P17" i="33"/>
  <c r="O17" i="33"/>
  <c r="AL18" i="1" s="1"/>
  <c r="K17" i="33"/>
  <c r="D17" i="33"/>
  <c r="C17" i="33"/>
  <c r="B17" i="33"/>
  <c r="AJ17" i="33" s="1"/>
  <c r="U18" i="33"/>
  <c r="P18" i="33"/>
  <c r="O18" i="33"/>
  <c r="AL19" i="1" s="1"/>
  <c r="K18" i="33"/>
  <c r="D18" i="33"/>
  <c r="C18" i="33"/>
  <c r="B18" i="33"/>
  <c r="AJ18" i="33" s="1"/>
  <c r="U8" i="33"/>
  <c r="P8" i="33"/>
  <c r="O8" i="33"/>
  <c r="AL9" i="1" s="1"/>
  <c r="K8" i="33"/>
  <c r="D8" i="33"/>
  <c r="C8" i="33"/>
  <c r="B8" i="33"/>
  <c r="AJ8" i="33" s="1"/>
  <c r="U16" i="33"/>
  <c r="P16" i="33"/>
  <c r="O16" i="33"/>
  <c r="AL17" i="1" s="1"/>
  <c r="K16" i="33"/>
  <c r="D16" i="33"/>
  <c r="C16" i="33"/>
  <c r="B16" i="33"/>
  <c r="AJ16" i="33" s="1"/>
  <c r="U15" i="33"/>
  <c r="P15" i="33"/>
  <c r="O15" i="33"/>
  <c r="AL16" i="1" s="1"/>
  <c r="K15" i="33"/>
  <c r="D15" i="33"/>
  <c r="C15" i="33"/>
  <c r="B15" i="33"/>
  <c r="AJ15" i="33" s="1"/>
  <c r="U14" i="33"/>
  <c r="P14" i="33"/>
  <c r="Q14" i="33" s="1"/>
  <c r="O14" i="33"/>
  <c r="AL15" i="1" s="1"/>
  <c r="K14" i="33"/>
  <c r="D14" i="33"/>
  <c r="C14" i="33"/>
  <c r="B14" i="33"/>
  <c r="AJ14" i="33" s="1"/>
  <c r="U13" i="33"/>
  <c r="P13" i="33"/>
  <c r="O13" i="33"/>
  <c r="AL14" i="1" s="1"/>
  <c r="K13" i="33"/>
  <c r="D13" i="33"/>
  <c r="C13" i="33"/>
  <c r="B13" i="33"/>
  <c r="AJ13" i="33" s="1"/>
  <c r="U12" i="33"/>
  <c r="P12" i="33"/>
  <c r="Q12" i="33" s="1"/>
  <c r="O12" i="33"/>
  <c r="AL13" i="1" s="1"/>
  <c r="K12" i="33"/>
  <c r="D12" i="33"/>
  <c r="C12" i="33"/>
  <c r="B12" i="33"/>
  <c r="AJ12" i="33" s="1"/>
  <c r="U10" i="33"/>
  <c r="P10" i="33"/>
  <c r="Q10" i="33" s="1"/>
  <c r="O10" i="33"/>
  <c r="AL11" i="1" s="1"/>
  <c r="K10" i="33"/>
  <c r="D10" i="33"/>
  <c r="C10" i="33"/>
  <c r="B10" i="33"/>
  <c r="AJ10" i="33" s="1"/>
  <c r="U9" i="33"/>
  <c r="P9" i="33"/>
  <c r="Q9" i="33" s="1"/>
  <c r="O9" i="33"/>
  <c r="AL10" i="1" s="1"/>
  <c r="K9" i="33"/>
  <c r="D9" i="33"/>
  <c r="C9" i="33"/>
  <c r="B9" i="33"/>
  <c r="AJ9" i="33" s="1"/>
  <c r="U5" i="33"/>
  <c r="P5" i="33"/>
  <c r="O5" i="33"/>
  <c r="AL6" i="1" s="1"/>
  <c r="K5" i="33"/>
  <c r="D5" i="33"/>
  <c r="C5" i="33"/>
  <c r="U7" i="33"/>
  <c r="P7" i="33"/>
  <c r="O7" i="33"/>
  <c r="AL8" i="1" s="1"/>
  <c r="K7" i="33"/>
  <c r="D7" i="33"/>
  <c r="C7" i="33"/>
  <c r="B7" i="33"/>
  <c r="AJ7" i="33" s="1"/>
  <c r="O4" i="33"/>
  <c r="AL5" i="1" s="1"/>
  <c r="K4" i="33"/>
  <c r="D4" i="33"/>
  <c r="C4" i="33"/>
  <c r="B4" i="33"/>
  <c r="AJ4" i="33" s="1"/>
  <c r="U17" i="32"/>
  <c r="P17" i="32"/>
  <c r="Q17" i="32" s="1"/>
  <c r="O17" i="32"/>
  <c r="AI18" i="1" s="1"/>
  <c r="K17" i="32"/>
  <c r="D17" i="32"/>
  <c r="C17" i="32"/>
  <c r="B17" i="32"/>
  <c r="AJ17" i="32" s="1"/>
  <c r="U18" i="32"/>
  <c r="P18" i="32"/>
  <c r="Q18" i="32" s="1"/>
  <c r="O18" i="32"/>
  <c r="AI19" i="1" s="1"/>
  <c r="K18" i="32"/>
  <c r="D18" i="32"/>
  <c r="C18" i="32"/>
  <c r="B18" i="32"/>
  <c r="AJ18" i="32" s="1"/>
  <c r="U8" i="32"/>
  <c r="P8" i="32"/>
  <c r="O8" i="32"/>
  <c r="AI9" i="1" s="1"/>
  <c r="K8" i="32"/>
  <c r="D8" i="32"/>
  <c r="C8" i="32"/>
  <c r="B8" i="32"/>
  <c r="AJ8" i="32" s="1"/>
  <c r="U16" i="32"/>
  <c r="P16" i="32"/>
  <c r="O16" i="32"/>
  <c r="AI17" i="1" s="1"/>
  <c r="K16" i="32"/>
  <c r="D16" i="32"/>
  <c r="C16" i="32"/>
  <c r="B16" i="32"/>
  <c r="AJ16" i="32" s="1"/>
  <c r="P15" i="32"/>
  <c r="O15" i="32"/>
  <c r="AI16" i="1" s="1"/>
  <c r="K15" i="32"/>
  <c r="D15" i="32"/>
  <c r="C15" i="32"/>
  <c r="B15" i="32"/>
  <c r="AJ15" i="32" s="1"/>
  <c r="U14" i="32"/>
  <c r="P14" i="32"/>
  <c r="Q14" i="32" s="1"/>
  <c r="O14" i="32"/>
  <c r="AI15" i="1" s="1"/>
  <c r="K14" i="32"/>
  <c r="D14" i="32"/>
  <c r="C14" i="32"/>
  <c r="B14" i="32"/>
  <c r="AJ14" i="32" s="1"/>
  <c r="U13" i="32"/>
  <c r="W13" i="32" s="1"/>
  <c r="O13" i="32"/>
  <c r="AI14" i="1" s="1"/>
  <c r="K13" i="32"/>
  <c r="D13" i="32"/>
  <c r="C13" i="32"/>
  <c r="B13" i="32"/>
  <c r="AJ13" i="32" s="1"/>
  <c r="U12" i="32"/>
  <c r="P12" i="32"/>
  <c r="Q12" i="32" s="1"/>
  <c r="O12" i="32"/>
  <c r="AI13" i="1" s="1"/>
  <c r="K12" i="32"/>
  <c r="D12" i="32"/>
  <c r="C12" i="32"/>
  <c r="B12" i="32"/>
  <c r="AJ12" i="32" s="1"/>
  <c r="U10" i="32"/>
  <c r="P10" i="32"/>
  <c r="Q10" i="32" s="1"/>
  <c r="O10" i="32"/>
  <c r="AI11" i="1" s="1"/>
  <c r="K10" i="32"/>
  <c r="D10" i="32"/>
  <c r="C10" i="32"/>
  <c r="B10" i="32"/>
  <c r="AJ10" i="32" s="1"/>
  <c r="U9" i="32"/>
  <c r="P9" i="32"/>
  <c r="Q9" i="32" s="1"/>
  <c r="O9" i="32"/>
  <c r="AI10" i="1" s="1"/>
  <c r="K9" i="32"/>
  <c r="D9" i="32"/>
  <c r="C9" i="32"/>
  <c r="B9" i="32"/>
  <c r="AJ9" i="32" s="1"/>
  <c r="U5" i="32"/>
  <c r="P5" i="32"/>
  <c r="O5" i="32"/>
  <c r="AI6" i="1" s="1"/>
  <c r="K5" i="32"/>
  <c r="D5" i="32"/>
  <c r="C5" i="32"/>
  <c r="U7" i="32"/>
  <c r="P7" i="32"/>
  <c r="Q7" i="32" s="1"/>
  <c r="O7" i="32"/>
  <c r="AI8" i="1" s="1"/>
  <c r="K7" i="32"/>
  <c r="D7" i="32"/>
  <c r="C7" i="32"/>
  <c r="B7" i="32"/>
  <c r="AJ7" i="32" s="1"/>
  <c r="O4" i="32"/>
  <c r="AI5" i="1" s="1"/>
  <c r="K4" i="32"/>
  <c r="D4" i="32"/>
  <c r="C4" i="32"/>
  <c r="B4" i="32"/>
  <c r="AJ4" i="32" s="1"/>
  <c r="U17" i="31"/>
  <c r="P17" i="31"/>
  <c r="O17" i="31"/>
  <c r="AF18" i="1" s="1"/>
  <c r="K17" i="31"/>
  <c r="D17" i="31"/>
  <c r="C17" i="31"/>
  <c r="B17" i="31"/>
  <c r="AJ17" i="31" s="1"/>
  <c r="U18" i="31"/>
  <c r="P18" i="31"/>
  <c r="O18" i="31"/>
  <c r="AF19" i="1" s="1"/>
  <c r="D18" i="31"/>
  <c r="C18" i="31"/>
  <c r="B18" i="31"/>
  <c r="AJ18" i="31" s="1"/>
  <c r="U8" i="31"/>
  <c r="P8" i="31"/>
  <c r="O8" i="31"/>
  <c r="AF9" i="1" s="1"/>
  <c r="K8" i="31"/>
  <c r="D8" i="31"/>
  <c r="C8" i="31"/>
  <c r="B8" i="31"/>
  <c r="AJ8" i="31" s="1"/>
  <c r="U16" i="31"/>
  <c r="P16" i="31"/>
  <c r="O16" i="31"/>
  <c r="AF17" i="1" s="1"/>
  <c r="K16" i="31"/>
  <c r="D16" i="31"/>
  <c r="C16" i="31"/>
  <c r="B16" i="31"/>
  <c r="AJ16" i="31" s="1"/>
  <c r="P15" i="31"/>
  <c r="O15" i="31"/>
  <c r="AF16" i="1" s="1"/>
  <c r="K15" i="31"/>
  <c r="D15" i="31"/>
  <c r="C15" i="31"/>
  <c r="B15" i="31"/>
  <c r="AJ15" i="31" s="1"/>
  <c r="U14" i="31"/>
  <c r="P14" i="31"/>
  <c r="Q14" i="31" s="1"/>
  <c r="O14" i="31"/>
  <c r="AF15" i="1" s="1"/>
  <c r="K14" i="31"/>
  <c r="D14" i="31"/>
  <c r="C14" i="31"/>
  <c r="B14" i="31"/>
  <c r="AJ14" i="31" s="1"/>
  <c r="U13" i="31"/>
  <c r="P13" i="31"/>
  <c r="O13" i="31"/>
  <c r="AF14" i="1" s="1"/>
  <c r="K13" i="31"/>
  <c r="D13" i="31"/>
  <c r="C13" i="31"/>
  <c r="B13" i="31"/>
  <c r="AJ13" i="31" s="1"/>
  <c r="U12" i="31"/>
  <c r="P12" i="31"/>
  <c r="O12" i="31"/>
  <c r="AF13" i="1" s="1"/>
  <c r="K12" i="31"/>
  <c r="D12" i="31"/>
  <c r="C12" i="31"/>
  <c r="B12" i="31"/>
  <c r="AJ12" i="31" s="1"/>
  <c r="U10" i="31"/>
  <c r="P10" i="31"/>
  <c r="Q10" i="31" s="1"/>
  <c r="O10" i="31"/>
  <c r="AF11" i="1" s="1"/>
  <c r="K10" i="31"/>
  <c r="D10" i="31"/>
  <c r="C10" i="31"/>
  <c r="B10" i="31"/>
  <c r="AJ10" i="31" s="1"/>
  <c r="U9" i="31"/>
  <c r="P9" i="31"/>
  <c r="Q9" i="31" s="1"/>
  <c r="O9" i="31"/>
  <c r="AF10" i="1" s="1"/>
  <c r="K9" i="31"/>
  <c r="D9" i="31"/>
  <c r="C9" i="31"/>
  <c r="B9" i="31"/>
  <c r="AJ9" i="31" s="1"/>
  <c r="U5" i="31"/>
  <c r="P5" i="31"/>
  <c r="O5" i="31"/>
  <c r="AF6" i="1" s="1"/>
  <c r="K5" i="31"/>
  <c r="D5" i="31"/>
  <c r="C5" i="31"/>
  <c r="U7" i="31"/>
  <c r="P7" i="31"/>
  <c r="O7" i="31"/>
  <c r="AF8" i="1" s="1"/>
  <c r="K7" i="31"/>
  <c r="D7" i="31"/>
  <c r="C7" i="31"/>
  <c r="B7" i="31"/>
  <c r="AJ7" i="31" s="1"/>
  <c r="O4" i="31"/>
  <c r="AF5" i="1" s="1"/>
  <c r="K4" i="31"/>
  <c r="D4" i="31"/>
  <c r="C4" i="31"/>
  <c r="B4" i="31"/>
  <c r="AJ4" i="31" s="1"/>
  <c r="U17" i="30"/>
  <c r="P17" i="30"/>
  <c r="Q17" i="30" s="1"/>
  <c r="O17" i="30"/>
  <c r="AC18" i="1" s="1"/>
  <c r="K17" i="30"/>
  <c r="D17" i="30"/>
  <c r="C17" i="30"/>
  <c r="B17" i="30"/>
  <c r="AJ17" i="30" s="1"/>
  <c r="U18" i="30"/>
  <c r="P18" i="30"/>
  <c r="Q18" i="30" s="1"/>
  <c r="O18" i="30"/>
  <c r="AC19" i="1" s="1"/>
  <c r="K18" i="30"/>
  <c r="D18" i="30"/>
  <c r="C18" i="30"/>
  <c r="B18" i="30"/>
  <c r="AJ18" i="30" s="1"/>
  <c r="U8" i="30"/>
  <c r="P8" i="30"/>
  <c r="O8" i="30"/>
  <c r="AC9" i="1" s="1"/>
  <c r="K8" i="30"/>
  <c r="D8" i="30"/>
  <c r="C8" i="30"/>
  <c r="B8" i="30"/>
  <c r="AJ8" i="30" s="1"/>
  <c r="U16" i="30"/>
  <c r="P16" i="30"/>
  <c r="Q16" i="30" s="1"/>
  <c r="O16" i="30"/>
  <c r="AC17" i="1" s="1"/>
  <c r="K16" i="30"/>
  <c r="D16" i="30"/>
  <c r="C16" i="30"/>
  <c r="B16" i="30"/>
  <c r="AJ16" i="30" s="1"/>
  <c r="U15" i="30"/>
  <c r="P15" i="30"/>
  <c r="O15" i="30"/>
  <c r="AC16" i="1" s="1"/>
  <c r="K15" i="30"/>
  <c r="D15" i="30"/>
  <c r="C15" i="30"/>
  <c r="B15" i="30"/>
  <c r="AJ15" i="30" s="1"/>
  <c r="U14" i="30"/>
  <c r="P14" i="30"/>
  <c r="Q14" i="30" s="1"/>
  <c r="O14" i="30"/>
  <c r="AC15" i="1" s="1"/>
  <c r="K14" i="30"/>
  <c r="D14" i="30"/>
  <c r="C14" i="30"/>
  <c r="B14" i="30"/>
  <c r="AJ14" i="30" s="1"/>
  <c r="U13" i="30"/>
  <c r="P13" i="30"/>
  <c r="O13" i="30"/>
  <c r="AC14" i="1" s="1"/>
  <c r="K13" i="30"/>
  <c r="D13" i="30"/>
  <c r="C13" i="30"/>
  <c r="B13" i="30"/>
  <c r="AJ13" i="30" s="1"/>
  <c r="U12" i="30"/>
  <c r="P12" i="30"/>
  <c r="Q12" i="30" s="1"/>
  <c r="O12" i="30"/>
  <c r="AC13" i="1" s="1"/>
  <c r="K12" i="30"/>
  <c r="D12" i="30"/>
  <c r="C12" i="30"/>
  <c r="B12" i="30"/>
  <c r="AJ12" i="30" s="1"/>
  <c r="U10" i="30"/>
  <c r="P10" i="30"/>
  <c r="Q10" i="30" s="1"/>
  <c r="O10" i="30"/>
  <c r="AC11" i="1" s="1"/>
  <c r="K10" i="30"/>
  <c r="D10" i="30"/>
  <c r="C10" i="30"/>
  <c r="B10" i="30"/>
  <c r="AJ10" i="30" s="1"/>
  <c r="U9" i="30"/>
  <c r="P9" i="30"/>
  <c r="Q9" i="30" s="1"/>
  <c r="O9" i="30"/>
  <c r="AC10" i="1" s="1"/>
  <c r="K9" i="30"/>
  <c r="D9" i="30"/>
  <c r="C9" i="30"/>
  <c r="B9" i="30"/>
  <c r="AJ9" i="30" s="1"/>
  <c r="U5" i="30"/>
  <c r="P5" i="30"/>
  <c r="O5" i="30"/>
  <c r="AC6" i="1" s="1"/>
  <c r="K5" i="30"/>
  <c r="D5" i="30"/>
  <c r="C5" i="30"/>
  <c r="U7" i="30"/>
  <c r="P7" i="30"/>
  <c r="Q7" i="30" s="1"/>
  <c r="O7" i="30"/>
  <c r="AC8" i="1" s="1"/>
  <c r="K7" i="30"/>
  <c r="D7" i="30"/>
  <c r="C7" i="30"/>
  <c r="B7" i="30"/>
  <c r="AJ7" i="30" s="1"/>
  <c r="O4" i="30"/>
  <c r="AC5" i="1" s="1"/>
  <c r="K4" i="30"/>
  <c r="D4" i="30"/>
  <c r="C4" i="30"/>
  <c r="B4" i="30"/>
  <c r="AJ4" i="30" s="1"/>
  <c r="U17" i="29"/>
  <c r="P17" i="29"/>
  <c r="O17" i="29"/>
  <c r="Z18" i="1" s="1"/>
  <c r="K17" i="29"/>
  <c r="D17" i="29"/>
  <c r="C17" i="29"/>
  <c r="B17" i="29"/>
  <c r="AJ17" i="29" s="1"/>
  <c r="U18" i="29"/>
  <c r="P18" i="29"/>
  <c r="O18" i="29"/>
  <c r="Z19" i="1" s="1"/>
  <c r="K18" i="29"/>
  <c r="D18" i="29"/>
  <c r="C18" i="29"/>
  <c r="B18" i="29"/>
  <c r="AJ18" i="29" s="1"/>
  <c r="U8" i="29"/>
  <c r="P8" i="29"/>
  <c r="Q8" i="29" s="1"/>
  <c r="O8" i="29"/>
  <c r="Z9" i="1" s="1"/>
  <c r="K8" i="29"/>
  <c r="D8" i="29"/>
  <c r="C8" i="29"/>
  <c r="B8" i="29"/>
  <c r="AJ8" i="29" s="1"/>
  <c r="U16" i="29"/>
  <c r="P16" i="29"/>
  <c r="O16" i="29"/>
  <c r="Z17" i="1" s="1"/>
  <c r="K16" i="29"/>
  <c r="D16" i="29"/>
  <c r="C16" i="29"/>
  <c r="B16" i="29"/>
  <c r="AJ16" i="29" s="1"/>
  <c r="P15" i="29"/>
  <c r="O15" i="29"/>
  <c r="Z16" i="1" s="1"/>
  <c r="K15" i="29"/>
  <c r="D15" i="29"/>
  <c r="C15" i="29"/>
  <c r="B15" i="29"/>
  <c r="AJ15" i="29" s="1"/>
  <c r="U14" i="29"/>
  <c r="P14" i="29"/>
  <c r="Q14" i="29" s="1"/>
  <c r="O14" i="29"/>
  <c r="Z15" i="1" s="1"/>
  <c r="K14" i="29"/>
  <c r="D14" i="29"/>
  <c r="C14" i="29"/>
  <c r="B14" i="29"/>
  <c r="AJ14" i="29" s="1"/>
  <c r="U13" i="29"/>
  <c r="P13" i="29"/>
  <c r="O13" i="29"/>
  <c r="Z14" i="1" s="1"/>
  <c r="K13" i="29"/>
  <c r="D13" i="29"/>
  <c r="C13" i="29"/>
  <c r="B13" i="29"/>
  <c r="AJ13" i="29" s="1"/>
  <c r="U12" i="29"/>
  <c r="P12" i="29"/>
  <c r="O12" i="29"/>
  <c r="Z13" i="1" s="1"/>
  <c r="K12" i="29"/>
  <c r="D12" i="29"/>
  <c r="C12" i="29"/>
  <c r="B12" i="29"/>
  <c r="AJ12" i="29" s="1"/>
  <c r="U10" i="29"/>
  <c r="P10" i="29"/>
  <c r="Q10" i="29" s="1"/>
  <c r="O10" i="29"/>
  <c r="Z11" i="1" s="1"/>
  <c r="K10" i="29"/>
  <c r="D10" i="29"/>
  <c r="C10" i="29"/>
  <c r="B10" i="29"/>
  <c r="AJ10" i="29" s="1"/>
  <c r="U9" i="29"/>
  <c r="P9" i="29"/>
  <c r="Q9" i="29" s="1"/>
  <c r="O9" i="29"/>
  <c r="Z10" i="1" s="1"/>
  <c r="K9" i="29"/>
  <c r="D9" i="29"/>
  <c r="C9" i="29"/>
  <c r="B9" i="29"/>
  <c r="AJ9" i="29" s="1"/>
  <c r="U5" i="29"/>
  <c r="P5" i="29"/>
  <c r="O5" i="29"/>
  <c r="Z6" i="1" s="1"/>
  <c r="K5" i="29"/>
  <c r="D5" i="29"/>
  <c r="C5" i="29"/>
  <c r="U7" i="29"/>
  <c r="P7" i="29"/>
  <c r="O7" i="29"/>
  <c r="Z8" i="1" s="1"/>
  <c r="K7" i="29"/>
  <c r="D7" i="29"/>
  <c r="C7" i="29"/>
  <c r="B7" i="29"/>
  <c r="AJ7" i="29" s="1"/>
  <c r="O4" i="29"/>
  <c r="Z5" i="1" s="1"/>
  <c r="K4" i="29"/>
  <c r="D4" i="29"/>
  <c r="C4" i="29"/>
  <c r="B4" i="29"/>
  <c r="AJ4" i="29" s="1"/>
  <c r="U17" i="28"/>
  <c r="P17" i="28"/>
  <c r="O17" i="28"/>
  <c r="W18" i="1" s="1"/>
  <c r="K17" i="28"/>
  <c r="D17" i="28"/>
  <c r="C17" i="28"/>
  <c r="B17" i="28"/>
  <c r="AJ17" i="28" s="1"/>
  <c r="U18" i="28"/>
  <c r="P18" i="28"/>
  <c r="O18" i="28"/>
  <c r="W19" i="1" s="1"/>
  <c r="K18" i="28"/>
  <c r="D18" i="28"/>
  <c r="C18" i="28"/>
  <c r="B18" i="28"/>
  <c r="AJ18" i="28" s="1"/>
  <c r="U8" i="28"/>
  <c r="P8" i="28"/>
  <c r="Q8" i="28" s="1"/>
  <c r="O8" i="28"/>
  <c r="W9" i="1" s="1"/>
  <c r="K8" i="28"/>
  <c r="D8" i="28"/>
  <c r="C8" i="28"/>
  <c r="B8" i="28"/>
  <c r="AJ8" i="28" s="1"/>
  <c r="U16" i="28"/>
  <c r="P16" i="28"/>
  <c r="Q16" i="28" s="1"/>
  <c r="O16" i="28"/>
  <c r="W17" i="1" s="1"/>
  <c r="K16" i="28"/>
  <c r="D16" i="28"/>
  <c r="C16" i="28"/>
  <c r="B16" i="28"/>
  <c r="AJ16" i="28" s="1"/>
  <c r="U15" i="28"/>
  <c r="P15" i="28"/>
  <c r="O15" i="28"/>
  <c r="W16" i="1" s="1"/>
  <c r="K15" i="28"/>
  <c r="D15" i="28"/>
  <c r="C15" i="28"/>
  <c r="B15" i="28"/>
  <c r="AJ15" i="28" s="1"/>
  <c r="U14" i="28"/>
  <c r="P14" i="28"/>
  <c r="Q14" i="28" s="1"/>
  <c r="O14" i="28"/>
  <c r="W15" i="1" s="1"/>
  <c r="K14" i="28"/>
  <c r="D14" i="28"/>
  <c r="C14" i="28"/>
  <c r="B14" i="28"/>
  <c r="AJ14" i="28" s="1"/>
  <c r="U13" i="28"/>
  <c r="P13" i="28"/>
  <c r="O13" i="28"/>
  <c r="W14" i="1" s="1"/>
  <c r="K13" i="28"/>
  <c r="D13" i="28"/>
  <c r="C13" i="28"/>
  <c r="B13" i="28"/>
  <c r="AJ13" i="28" s="1"/>
  <c r="U12" i="28"/>
  <c r="P12" i="28"/>
  <c r="O12" i="28"/>
  <c r="W13" i="1" s="1"/>
  <c r="K12" i="28"/>
  <c r="D12" i="28"/>
  <c r="C12" i="28"/>
  <c r="B12" i="28"/>
  <c r="AJ12" i="28" s="1"/>
  <c r="U10" i="28"/>
  <c r="P10" i="28"/>
  <c r="Q10" i="28" s="1"/>
  <c r="O10" i="28"/>
  <c r="W11" i="1" s="1"/>
  <c r="K10" i="28"/>
  <c r="D10" i="28"/>
  <c r="C10" i="28"/>
  <c r="B10" i="28"/>
  <c r="AJ10" i="28" s="1"/>
  <c r="U9" i="28"/>
  <c r="P9" i="28"/>
  <c r="Q9" i="28" s="1"/>
  <c r="O9" i="28"/>
  <c r="W10" i="1" s="1"/>
  <c r="K9" i="28"/>
  <c r="D9" i="28"/>
  <c r="C9" i="28"/>
  <c r="B9" i="28"/>
  <c r="AJ9" i="28" s="1"/>
  <c r="U5" i="28"/>
  <c r="P5" i="28"/>
  <c r="O5" i="28"/>
  <c r="W6" i="1" s="1"/>
  <c r="K5" i="28"/>
  <c r="D5" i="28"/>
  <c r="C5" i="28"/>
  <c r="U7" i="28"/>
  <c r="P7" i="28"/>
  <c r="O7" i="28"/>
  <c r="W8" i="1" s="1"/>
  <c r="K7" i="28"/>
  <c r="D7" i="28"/>
  <c r="C7" i="28"/>
  <c r="B7" i="28"/>
  <c r="AJ7" i="28" s="1"/>
  <c r="O4" i="28"/>
  <c r="W5" i="1" s="1"/>
  <c r="K4" i="28"/>
  <c r="D4" i="28"/>
  <c r="C4" i="28"/>
  <c r="B4" i="28"/>
  <c r="AJ4" i="28" s="1"/>
  <c r="U17" i="27"/>
  <c r="P17" i="27"/>
  <c r="O17" i="27"/>
  <c r="T18" i="1" s="1"/>
  <c r="K17" i="27"/>
  <c r="D17" i="27"/>
  <c r="C17" i="27"/>
  <c r="B17" i="27"/>
  <c r="AJ17" i="27" s="1"/>
  <c r="U18" i="27"/>
  <c r="P18" i="27"/>
  <c r="O18" i="27"/>
  <c r="T19" i="1" s="1"/>
  <c r="K18" i="27"/>
  <c r="D18" i="27"/>
  <c r="C18" i="27"/>
  <c r="B18" i="27"/>
  <c r="AJ18" i="27" s="1"/>
  <c r="U8" i="27"/>
  <c r="P8" i="27"/>
  <c r="O8" i="27"/>
  <c r="T9" i="1" s="1"/>
  <c r="K8" i="27"/>
  <c r="D8" i="27"/>
  <c r="C8" i="27"/>
  <c r="B8" i="27"/>
  <c r="AJ8" i="27" s="1"/>
  <c r="U16" i="27"/>
  <c r="P16" i="27"/>
  <c r="Q16" i="27" s="1"/>
  <c r="O16" i="27"/>
  <c r="T17" i="1" s="1"/>
  <c r="K16" i="27"/>
  <c r="D16" i="27"/>
  <c r="C16" i="27"/>
  <c r="B16" i="27"/>
  <c r="AJ16" i="27" s="1"/>
  <c r="U15" i="27"/>
  <c r="P15" i="27"/>
  <c r="O15" i="27"/>
  <c r="T16" i="1" s="1"/>
  <c r="K15" i="27"/>
  <c r="D15" i="27"/>
  <c r="C15" i="27"/>
  <c r="B15" i="27"/>
  <c r="AJ15" i="27" s="1"/>
  <c r="U14" i="27"/>
  <c r="P14" i="27"/>
  <c r="Q14" i="27" s="1"/>
  <c r="O14" i="27"/>
  <c r="T15" i="1" s="1"/>
  <c r="K14" i="27"/>
  <c r="D14" i="27"/>
  <c r="C14" i="27"/>
  <c r="B14" i="27"/>
  <c r="AJ14" i="27" s="1"/>
  <c r="U13" i="27"/>
  <c r="P13" i="27"/>
  <c r="Q13" i="27" s="1"/>
  <c r="O13" i="27"/>
  <c r="T14" i="1" s="1"/>
  <c r="K13" i="27"/>
  <c r="D13" i="27"/>
  <c r="C13" i="27"/>
  <c r="B13" i="27"/>
  <c r="AJ13" i="27" s="1"/>
  <c r="U12" i="27"/>
  <c r="P12" i="27"/>
  <c r="O12" i="27"/>
  <c r="T13" i="1" s="1"/>
  <c r="K12" i="27"/>
  <c r="D12" i="27"/>
  <c r="C12" i="27"/>
  <c r="B12" i="27"/>
  <c r="AJ12" i="27" s="1"/>
  <c r="U10" i="27"/>
  <c r="P10" i="27"/>
  <c r="Q10" i="27" s="1"/>
  <c r="O10" i="27"/>
  <c r="T11" i="1" s="1"/>
  <c r="K10" i="27"/>
  <c r="D10" i="27"/>
  <c r="C10" i="27"/>
  <c r="B10" i="27"/>
  <c r="AJ10" i="27" s="1"/>
  <c r="U9" i="27"/>
  <c r="P9" i="27"/>
  <c r="Q9" i="27" s="1"/>
  <c r="O9" i="27"/>
  <c r="T10" i="1" s="1"/>
  <c r="K9" i="27"/>
  <c r="D9" i="27"/>
  <c r="C9" i="27"/>
  <c r="B9" i="27"/>
  <c r="AJ9" i="27" s="1"/>
  <c r="U5" i="27"/>
  <c r="P5" i="27"/>
  <c r="Q5" i="27" s="1"/>
  <c r="O5" i="27"/>
  <c r="T6" i="1" s="1"/>
  <c r="K5" i="27"/>
  <c r="D5" i="27"/>
  <c r="C5" i="27"/>
  <c r="U7" i="27"/>
  <c r="P7" i="27"/>
  <c r="O7" i="27"/>
  <c r="T8" i="1" s="1"/>
  <c r="K7" i="27"/>
  <c r="D7" i="27"/>
  <c r="C7" i="27"/>
  <c r="B7" i="27"/>
  <c r="AJ7" i="27" s="1"/>
  <c r="O4" i="27"/>
  <c r="T5" i="1" s="1"/>
  <c r="K4" i="27"/>
  <c r="D4" i="27"/>
  <c r="C4" i="27"/>
  <c r="B4" i="27"/>
  <c r="AJ4" i="27" s="1"/>
  <c r="U17" i="26"/>
  <c r="P17" i="26"/>
  <c r="O17" i="26"/>
  <c r="K17" i="26"/>
  <c r="D17" i="26"/>
  <c r="C17" i="26"/>
  <c r="B17" i="26"/>
  <c r="AJ17" i="26" s="1"/>
  <c r="U18" i="26"/>
  <c r="P18" i="26"/>
  <c r="O18" i="26"/>
  <c r="K18" i="26"/>
  <c r="D18" i="26"/>
  <c r="C18" i="26"/>
  <c r="B18" i="26"/>
  <c r="AJ18" i="26" s="1"/>
  <c r="U8" i="26"/>
  <c r="P8" i="26"/>
  <c r="O8" i="26"/>
  <c r="K8" i="26"/>
  <c r="D8" i="26"/>
  <c r="C8" i="26"/>
  <c r="B8" i="26"/>
  <c r="AJ8" i="26" s="1"/>
  <c r="U16" i="26"/>
  <c r="P16" i="26"/>
  <c r="O16" i="26"/>
  <c r="K16" i="26"/>
  <c r="D16" i="26"/>
  <c r="C16" i="26"/>
  <c r="B16" i="26"/>
  <c r="AJ16" i="26" s="1"/>
  <c r="U15" i="26"/>
  <c r="P15" i="26"/>
  <c r="O15" i="26"/>
  <c r="K15" i="26"/>
  <c r="D15" i="26"/>
  <c r="C15" i="26"/>
  <c r="B15" i="26"/>
  <c r="AJ15" i="26" s="1"/>
  <c r="U14" i="26"/>
  <c r="P14" i="26"/>
  <c r="Q14" i="26" s="1"/>
  <c r="O14" i="26"/>
  <c r="K14" i="26"/>
  <c r="D14" i="26"/>
  <c r="C14" i="26"/>
  <c r="B14" i="26"/>
  <c r="AJ14" i="26" s="1"/>
  <c r="U13" i="26"/>
  <c r="P13" i="26"/>
  <c r="O13" i="26"/>
  <c r="K13" i="26"/>
  <c r="D13" i="26"/>
  <c r="C13" i="26"/>
  <c r="B13" i="26"/>
  <c r="AJ13" i="26" s="1"/>
  <c r="U12" i="26"/>
  <c r="P12" i="26"/>
  <c r="O12" i="26"/>
  <c r="K12" i="26"/>
  <c r="D12" i="26"/>
  <c r="C12" i="26"/>
  <c r="B12" i="26"/>
  <c r="AJ12" i="26" s="1"/>
  <c r="U10" i="26"/>
  <c r="P10" i="26"/>
  <c r="Q10" i="26" s="1"/>
  <c r="O10" i="26"/>
  <c r="K10" i="26"/>
  <c r="D10" i="26"/>
  <c r="C10" i="26"/>
  <c r="B10" i="26"/>
  <c r="AJ10" i="26" s="1"/>
  <c r="U9" i="26"/>
  <c r="P9" i="26"/>
  <c r="Q9" i="26" s="1"/>
  <c r="O9" i="26"/>
  <c r="K9" i="26"/>
  <c r="D9" i="26"/>
  <c r="C9" i="26"/>
  <c r="B9" i="26"/>
  <c r="AJ9" i="26" s="1"/>
  <c r="U5" i="26"/>
  <c r="P5" i="26"/>
  <c r="O5" i="26"/>
  <c r="K5" i="26"/>
  <c r="D5" i="26"/>
  <c r="C5" i="26"/>
  <c r="U7" i="26"/>
  <c r="P7" i="26"/>
  <c r="O7" i="26"/>
  <c r="K7" i="26"/>
  <c r="D7" i="26"/>
  <c r="C7" i="26"/>
  <c r="B7" i="26"/>
  <c r="AJ7" i="26" s="1"/>
  <c r="O4" i="26"/>
  <c r="K4" i="26"/>
  <c r="D4" i="26"/>
  <c r="C4" i="26"/>
  <c r="B4" i="26"/>
  <c r="AJ4" i="26" s="1"/>
  <c r="U13" i="2"/>
  <c r="U12" i="2"/>
  <c r="U10" i="2"/>
  <c r="U9" i="2"/>
  <c r="O4" i="2"/>
  <c r="N5" i="1" s="1"/>
  <c r="U17" i="2"/>
  <c r="U18" i="2"/>
  <c r="U8" i="2"/>
  <c r="U16" i="2"/>
  <c r="U15" i="2"/>
  <c r="U14" i="2"/>
  <c r="U5" i="2"/>
  <c r="U7" i="2"/>
  <c r="O17" i="2"/>
  <c r="N18" i="1" s="1"/>
  <c r="O18" i="2"/>
  <c r="N19" i="1" s="1"/>
  <c r="O16" i="2"/>
  <c r="N17" i="1" s="1"/>
  <c r="O13" i="2"/>
  <c r="N14" i="1" s="1"/>
  <c r="O12" i="2"/>
  <c r="N13" i="1" s="1"/>
  <c r="O10" i="2"/>
  <c r="N11" i="1" s="1"/>
  <c r="O9" i="2"/>
  <c r="N10" i="1" s="1"/>
  <c r="O5" i="2"/>
  <c r="N6" i="1" s="1"/>
  <c r="O7" i="2"/>
  <c r="N8" i="1" s="1"/>
  <c r="E27" i="28" l="1"/>
  <c r="W5" i="27"/>
  <c r="Y5" i="27" s="1"/>
  <c r="Q19" i="1"/>
  <c r="Q5" i="1"/>
  <c r="Q17" i="1"/>
  <c r="Q10" i="1"/>
  <c r="Q16" i="1"/>
  <c r="Q15" i="1"/>
  <c r="Q6" i="1"/>
  <c r="Q18" i="1"/>
  <c r="Q14" i="1"/>
  <c r="Q9" i="1"/>
  <c r="Q8" i="1"/>
  <c r="Q13" i="1"/>
  <c r="Q11" i="1"/>
  <c r="Q7" i="35"/>
  <c r="Q18" i="35"/>
  <c r="Q17" i="35"/>
  <c r="Q16" i="35"/>
  <c r="E27" i="35"/>
  <c r="Q13" i="35"/>
  <c r="Q12" i="35"/>
  <c r="Q5" i="34"/>
  <c r="Q8" i="34"/>
  <c r="Q16" i="34"/>
  <c r="Q15" i="34"/>
  <c r="E27" i="34"/>
  <c r="Q13" i="34"/>
  <c r="Q12" i="34"/>
  <c r="Q5" i="33"/>
  <c r="Q7" i="33"/>
  <c r="Q18" i="33"/>
  <c r="Q17" i="33"/>
  <c r="Q8" i="33"/>
  <c r="Q16" i="33"/>
  <c r="Q15" i="33"/>
  <c r="E27" i="33"/>
  <c r="Q13" i="33"/>
  <c r="Q5" i="32"/>
  <c r="Q8" i="32"/>
  <c r="Q16" i="32"/>
  <c r="Q15" i="32"/>
  <c r="E27" i="32"/>
  <c r="Q5" i="31"/>
  <c r="Q7" i="31"/>
  <c r="Q18" i="31"/>
  <c r="Q17" i="31"/>
  <c r="Q8" i="31"/>
  <c r="Q16" i="31"/>
  <c r="Q15" i="31"/>
  <c r="E27" i="31"/>
  <c r="Q13" i="31"/>
  <c r="Q12" i="31"/>
  <c r="Q5" i="30"/>
  <c r="Q8" i="30"/>
  <c r="Q15" i="30"/>
  <c r="E27" i="30"/>
  <c r="Q13" i="30"/>
  <c r="Q5" i="29"/>
  <c r="Q18" i="29"/>
  <c r="Q17" i="29"/>
  <c r="Q7" i="29"/>
  <c r="Q16" i="29"/>
  <c r="Q15" i="29"/>
  <c r="E27" i="29"/>
  <c r="Q13" i="29"/>
  <c r="Q12" i="29"/>
  <c r="Q5" i="28"/>
  <c r="E35" i="28" s="1" a="1"/>
  <c r="Q7" i="28"/>
  <c r="Q18" i="28"/>
  <c r="Q17" i="28"/>
  <c r="Q15" i="28"/>
  <c r="Q13" i="28"/>
  <c r="Q12" i="28"/>
  <c r="Q7" i="27"/>
  <c r="Q18" i="27"/>
  <c r="Q17" i="27"/>
  <c r="Q8" i="27"/>
  <c r="Q15" i="27"/>
  <c r="E27" i="27"/>
  <c r="Q12" i="27"/>
  <c r="Q5" i="26"/>
  <c r="Q18" i="26"/>
  <c r="Q17" i="26"/>
  <c r="Q7" i="26"/>
  <c r="Q8" i="26"/>
  <c r="Q16" i="26"/>
  <c r="Q15" i="26"/>
  <c r="E27" i="26"/>
  <c r="Q13" i="26"/>
  <c r="Q12" i="26"/>
  <c r="D7" i="2"/>
  <c r="D5" i="2"/>
  <c r="D9" i="2"/>
  <c r="D10" i="2"/>
  <c r="D12" i="2"/>
  <c r="D13" i="2"/>
  <c r="D14" i="2"/>
  <c r="D15" i="2"/>
  <c r="D16" i="2"/>
  <c r="D8" i="2"/>
  <c r="D18" i="2"/>
  <c r="D17" i="2"/>
  <c r="D4" i="2"/>
  <c r="C7" i="2"/>
  <c r="C5" i="2"/>
  <c r="C9" i="2"/>
  <c r="C10" i="2"/>
  <c r="C12" i="2"/>
  <c r="C13" i="2"/>
  <c r="C14" i="2"/>
  <c r="C15" i="2"/>
  <c r="C16" i="2"/>
  <c r="C8" i="2"/>
  <c r="C18" i="2"/>
  <c r="C17" i="2"/>
  <c r="C4" i="2"/>
  <c r="E35" i="35" l="1" a="1"/>
  <c r="E35" i="29" a="1"/>
  <c r="E35" i="26"/>
  <c r="E35" i="34" a="1"/>
  <c r="E35" i="32" a="1"/>
  <c r="E35" i="33" a="1"/>
  <c r="E35" i="30" a="1"/>
  <c r="E35" i="31" a="1"/>
  <c r="S26" i="35"/>
  <c r="S26" i="27"/>
  <c r="E35" i="27" a="1"/>
  <c r="S26" i="31"/>
  <c r="S26" i="29"/>
  <c r="S26" i="32"/>
  <c r="S26" i="34"/>
  <c r="S26" i="30"/>
  <c r="W5" i="28"/>
  <c r="Y5" i="28" s="1"/>
  <c r="S26" i="28"/>
  <c r="W5" i="26"/>
  <c r="S26" i="26"/>
  <c r="W5" i="33"/>
  <c r="Y5" i="33" s="1"/>
  <c r="S26" i="33"/>
  <c r="S21" i="1"/>
  <c r="V21" i="1"/>
  <c r="AN21" i="1"/>
  <c r="AT21" i="1"/>
  <c r="AE21" i="1"/>
  <c r="AH21" i="1"/>
  <c r="Y21" i="1"/>
  <c r="AB21" i="1"/>
  <c r="AQ21" i="1"/>
  <c r="AK21" i="1"/>
  <c r="B7" i="2"/>
  <c r="AJ7" i="2" s="1"/>
  <c r="B9" i="2"/>
  <c r="AJ9" i="2" s="1"/>
  <c r="B10" i="2"/>
  <c r="AJ10" i="2" s="1"/>
  <c r="B12" i="2"/>
  <c r="AJ12" i="2" s="1"/>
  <c r="B13" i="2"/>
  <c r="AJ13" i="2" s="1"/>
  <c r="B14" i="2"/>
  <c r="AJ14" i="2" s="1"/>
  <c r="B15" i="2"/>
  <c r="AJ15" i="2" s="1"/>
  <c r="B16" i="2"/>
  <c r="AJ16" i="2" s="1"/>
  <c r="B8" i="2"/>
  <c r="AJ8" i="2" s="1"/>
  <c r="B18" i="2"/>
  <c r="AJ18" i="2" s="1"/>
  <c r="B17" i="2"/>
  <c r="AJ17" i="2" s="1"/>
  <c r="B4" i="2"/>
  <c r="AJ4" i="2" s="1"/>
  <c r="P23" i="1"/>
  <c r="K17" i="2"/>
  <c r="K18" i="2"/>
  <c r="K8" i="2"/>
  <c r="K16" i="2"/>
  <c r="K15" i="2"/>
  <c r="K14" i="2"/>
  <c r="K13" i="2"/>
  <c r="K12" i="2"/>
  <c r="K10" i="2"/>
  <c r="K9" i="2"/>
  <c r="K5" i="2"/>
  <c r="K7" i="2"/>
  <c r="K4" i="2"/>
  <c r="F21" i="1"/>
  <c r="E27" i="2" l="1"/>
  <c r="P7" i="2"/>
  <c r="P5" i="2"/>
  <c r="P9" i="2"/>
  <c r="P10" i="2"/>
  <c r="P12" i="2"/>
  <c r="P13" i="2"/>
  <c r="P14" i="2"/>
  <c r="Q14" i="2" s="1"/>
  <c r="P16" i="2"/>
  <c r="P8" i="2"/>
  <c r="P18" i="2"/>
  <c r="P17" i="2"/>
  <c r="P22" i="1"/>
  <c r="Q12" i="2" l="1"/>
  <c r="W12" i="2" s="1"/>
  <c r="Q10" i="2"/>
  <c r="W10" i="2" s="1"/>
  <c r="Q18" i="2"/>
  <c r="W18" i="2" s="1"/>
  <c r="Q7" i="2"/>
  <c r="W7" i="2" s="1"/>
  <c r="Q8" i="2"/>
  <c r="W8" i="2" s="1"/>
  <c r="Q16" i="2"/>
  <c r="W16" i="2" s="1"/>
  <c r="W14" i="2"/>
  <c r="Q13" i="2"/>
  <c r="W13" i="2" s="1"/>
  <c r="Q17" i="2"/>
  <c r="W17" i="2" s="1"/>
  <c r="Q5" i="2"/>
  <c r="Q9" i="2"/>
  <c r="W9" i="2" s="1"/>
  <c r="W5" i="2" l="1"/>
  <c r="Y13" i="2"/>
  <c r="Y5" i="2"/>
  <c r="Y6" i="2"/>
  <c r="Y16" i="2"/>
  <c r="Y17" i="2"/>
  <c r="Y12" i="2"/>
  <c r="Y4" i="2"/>
  <c r="N8" i="2"/>
  <c r="Y7" i="2"/>
  <c r="Y9" i="2"/>
  <c r="Y18" i="2"/>
  <c r="N17" i="2"/>
  <c r="N7" i="2"/>
  <c r="N18" i="2"/>
  <c r="N9" i="2"/>
  <c r="N13" i="2"/>
  <c r="N14" i="2"/>
  <c r="N12" i="2"/>
  <c r="N10" i="2"/>
  <c r="N16" i="2"/>
  <c r="N5" i="2"/>
  <c r="E14" i="1"/>
  <c r="G18" i="1"/>
  <c r="G14" i="1"/>
  <c r="E18" i="1"/>
  <c r="T7" i="2" l="1"/>
  <c r="T17" i="2"/>
  <c r="T14" i="2"/>
  <c r="T18" i="2"/>
  <c r="T12" i="2"/>
  <c r="T9" i="2"/>
  <c r="T13" i="2"/>
  <c r="T5" i="2"/>
  <c r="T8" i="2"/>
  <c r="T10" i="2"/>
  <c r="T16" i="2"/>
  <c r="T4" i="2"/>
  <c r="P21" i="1"/>
  <c r="G8" i="1"/>
  <c r="E8" i="1"/>
  <c r="V6" i="2" l="1"/>
  <c r="V4" i="2"/>
  <c r="F17" i="26"/>
  <c r="AG17" i="26" s="1"/>
  <c r="F13" i="26" l="1"/>
  <c r="AG13" i="26" s="1"/>
  <c r="E6" i="1"/>
  <c r="G6" i="1"/>
  <c r="F4" i="26" l="1"/>
  <c r="AG4" i="26" s="1"/>
  <c r="F18" i="26"/>
  <c r="AG18" i="26" s="1"/>
  <c r="F5" i="26"/>
  <c r="AG5" i="26" s="1"/>
  <c r="F10" i="26"/>
  <c r="AG10" i="26" s="1"/>
  <c r="F7" i="26"/>
  <c r="AG7" i="26" s="1"/>
  <c r="F12" i="26"/>
  <c r="AG12" i="26" s="1"/>
  <c r="F16" i="26" l="1"/>
  <c r="AG16" i="26" s="1"/>
  <c r="F8" i="26"/>
  <c r="AG8" i="26" s="1"/>
  <c r="F14" i="26" l="1"/>
  <c r="AG14" i="26" s="1"/>
  <c r="F15" i="26"/>
  <c r="AG15" i="26" s="1"/>
  <c r="F9" i="26"/>
  <c r="AG9" i="26" s="1"/>
  <c r="W13" i="26" l="1"/>
  <c r="N13" i="26" l="1"/>
  <c r="T13" i="26" s="1"/>
  <c r="N5" i="26"/>
  <c r="T5" i="26" l="1"/>
  <c r="F17" i="27" l="1"/>
  <c r="AG17" i="27" s="1"/>
  <c r="F8" i="27"/>
  <c r="AG8" i="27" s="1"/>
  <c r="F5" i="27"/>
  <c r="AG5" i="27" s="1"/>
  <c r="F13" i="27"/>
  <c r="AG13" i="27" s="1"/>
  <c r="W13" i="27"/>
  <c r="Y13" i="27" s="1"/>
  <c r="W12" i="27"/>
  <c r="N5" i="27" l="1"/>
  <c r="N12" i="27"/>
  <c r="N13" i="27"/>
  <c r="T12" i="27" l="1"/>
  <c r="T13" i="27"/>
  <c r="T5" i="27"/>
  <c r="F15" i="27"/>
  <c r="F7" i="27"/>
  <c r="AG7" i="27" s="1"/>
  <c r="F18" i="27"/>
  <c r="AG18" i="27" s="1"/>
  <c r="F4" i="27"/>
  <c r="AG4" i="27" s="1"/>
  <c r="F16" i="27"/>
  <c r="AG16" i="27" s="1"/>
  <c r="F12" i="27"/>
  <c r="AG12" i="27" s="1"/>
  <c r="F9" i="27"/>
  <c r="AG9" i="27" s="1"/>
  <c r="F10" i="27"/>
  <c r="AG10" i="27" s="1"/>
  <c r="F14" i="27"/>
  <c r="AG14" i="27" s="1"/>
  <c r="W17" i="28" l="1"/>
  <c r="Y17" i="28" s="1"/>
  <c r="W13" i="28"/>
  <c r="Y13" i="28" s="1"/>
  <c r="W18" i="28"/>
  <c r="Y18" i="28" s="1"/>
  <c r="N18" i="28" l="1"/>
  <c r="W12" i="28"/>
  <c r="Y12" i="28" s="1"/>
  <c r="W7" i="28"/>
  <c r="Y7" i="28" s="1"/>
  <c r="N13" i="28"/>
  <c r="N17" i="28"/>
  <c r="N5" i="28"/>
  <c r="T17" i="28" l="1"/>
  <c r="T5" i="28"/>
  <c r="T13" i="28"/>
  <c r="T18" i="28"/>
  <c r="N7" i="28"/>
  <c r="N12" i="28"/>
  <c r="T12" i="28" l="1"/>
  <c r="T7" i="28"/>
  <c r="F14" i="28" l="1"/>
  <c r="AG14" i="28" s="1"/>
  <c r="F17" i="28" l="1"/>
  <c r="AG17" i="28" s="1"/>
  <c r="F10" i="28"/>
  <c r="AG10" i="28" s="1"/>
  <c r="F9" i="28"/>
  <c r="AG9" i="28" s="1"/>
  <c r="F18" i="28"/>
  <c r="AG18" i="28" s="1"/>
  <c r="F8" i="28"/>
  <c r="AG8" i="28" s="1"/>
  <c r="F4" i="28"/>
  <c r="AG4" i="28" s="1"/>
  <c r="F16" i="28"/>
  <c r="AG16" i="28" s="1"/>
  <c r="F7" i="28"/>
  <c r="AG7" i="28" s="1"/>
  <c r="F12" i="28"/>
  <c r="AG12" i="28" s="1"/>
  <c r="F5" i="28"/>
  <c r="AG5" i="28" s="1"/>
  <c r="F13" i="28"/>
  <c r="AG13" i="28" s="1"/>
  <c r="W13" i="29"/>
  <c r="Y13" i="29" s="1"/>
  <c r="W16" i="29"/>
  <c r="Y16" i="29" s="1"/>
  <c r="W18" i="29"/>
  <c r="Y18" i="29" s="1"/>
  <c r="W12" i="29" l="1"/>
  <c r="N16" i="29"/>
  <c r="N18" i="29"/>
  <c r="N13" i="29"/>
  <c r="T13" i="29" l="1"/>
  <c r="T16" i="29"/>
  <c r="T18" i="29"/>
  <c r="Y12" i="29"/>
  <c r="N12" i="29"/>
  <c r="T12" i="29" l="1"/>
  <c r="W13" i="30" l="1"/>
  <c r="Y13" i="30" s="1"/>
  <c r="W16" i="30"/>
  <c r="Y16" i="30" s="1"/>
  <c r="W18" i="30"/>
  <c r="Y18" i="30" l="1"/>
  <c r="N18" i="30"/>
  <c r="W7" i="30"/>
  <c r="Y7" i="30" s="1"/>
  <c r="W12" i="30"/>
  <c r="Y12" i="30" s="1"/>
  <c r="N16" i="30"/>
  <c r="N13" i="30"/>
  <c r="T18" i="30" l="1"/>
  <c r="T16" i="30"/>
  <c r="T13" i="30"/>
  <c r="F8" i="29"/>
  <c r="AG8" i="29" s="1"/>
  <c r="F5" i="29"/>
  <c r="AG5" i="29" s="1"/>
  <c r="F9" i="29"/>
  <c r="AG9" i="29" s="1"/>
  <c r="F18" i="29"/>
  <c r="AG18" i="29" s="1"/>
  <c r="F14" i="29"/>
  <c r="AG14" i="29" s="1"/>
  <c r="F13" i="29"/>
  <c r="AG13" i="29" s="1"/>
  <c r="F7" i="29"/>
  <c r="AG7" i="29" s="1"/>
  <c r="F17" i="29"/>
  <c r="AG17" i="29" s="1"/>
  <c r="F12" i="29"/>
  <c r="AG12" i="29" s="1"/>
  <c r="F10" i="29"/>
  <c r="AG10" i="29" s="1"/>
  <c r="F16" i="29"/>
  <c r="AG16" i="29" s="1"/>
  <c r="F4" i="29"/>
  <c r="AG4" i="29" s="1"/>
  <c r="N12" i="30"/>
  <c r="N7" i="30"/>
  <c r="T7" i="30" l="1"/>
  <c r="T12" i="30"/>
  <c r="W13" i="31" l="1"/>
  <c r="Y13" i="31" s="1"/>
  <c r="W18" i="31"/>
  <c r="Y18" i="31" s="1"/>
  <c r="N13" i="31" l="1"/>
  <c r="N18" i="31"/>
  <c r="T13" i="31" l="1"/>
  <c r="T18" i="31"/>
  <c r="F16" i="30" l="1"/>
  <c r="AG16" i="30" s="1"/>
  <c r="F13" i="30"/>
  <c r="AG13" i="30" s="1"/>
  <c r="F12" i="30"/>
  <c r="AG12" i="30" s="1"/>
  <c r="F18" i="30"/>
  <c r="AG18" i="30" s="1"/>
  <c r="F17" i="30"/>
  <c r="AG17" i="30" s="1"/>
  <c r="W16" i="32" l="1"/>
  <c r="Y16" i="32" s="1"/>
  <c r="W18" i="32"/>
  <c r="Y18" i="32" s="1"/>
  <c r="W17" i="32"/>
  <c r="Y17" i="32" s="1"/>
  <c r="N13" i="32" l="1"/>
  <c r="N17" i="32"/>
  <c r="N16" i="32"/>
  <c r="N18" i="32"/>
  <c r="T17" i="32" l="1"/>
  <c r="T18" i="32"/>
  <c r="T16" i="32"/>
  <c r="T13" i="32"/>
  <c r="F9" i="30"/>
  <c r="AG9" i="30" s="1"/>
  <c r="F4" i="30"/>
  <c r="AG4" i="30" s="1"/>
  <c r="F14" i="30"/>
  <c r="AG14" i="30" s="1"/>
  <c r="F10" i="30"/>
  <c r="AG10" i="30" s="1"/>
  <c r="F8" i="30"/>
  <c r="AG8" i="30" s="1"/>
  <c r="F5" i="30"/>
  <c r="AG5" i="30" s="1"/>
  <c r="F7" i="30"/>
  <c r="AG7" i="30" s="1"/>
  <c r="F12" i="31" l="1"/>
  <c r="AG12" i="31" s="1"/>
  <c r="F18" i="31"/>
  <c r="AG18" i="31" s="1"/>
  <c r="F13" i="31"/>
  <c r="AG13" i="31" s="1"/>
  <c r="F16" i="31"/>
  <c r="AG16" i="31" s="1"/>
  <c r="F17" i="31"/>
  <c r="AG17" i="31" s="1"/>
  <c r="W18" i="33" l="1"/>
  <c r="Y18" i="33" s="1"/>
  <c r="F8" i="31" l="1"/>
  <c r="AG8" i="31" s="1"/>
  <c r="F9" i="31"/>
  <c r="AG9" i="31" s="1"/>
  <c r="F14" i="31"/>
  <c r="AG14" i="31" s="1"/>
  <c r="F7" i="31"/>
  <c r="AG7" i="31" s="1"/>
  <c r="F10" i="31"/>
  <c r="AG10" i="31" s="1"/>
  <c r="N18" i="33"/>
  <c r="N5" i="33"/>
  <c r="T5" i="33" l="1"/>
  <c r="T18" i="33"/>
  <c r="Y13" i="32"/>
  <c r="W13" i="34" l="1"/>
  <c r="Y13" i="34" s="1"/>
  <c r="W18" i="34"/>
  <c r="Y18" i="34" s="1"/>
  <c r="W12" i="34" l="1"/>
  <c r="Y12" i="34" s="1"/>
  <c r="N13" i="34"/>
  <c r="N18" i="34"/>
  <c r="T13" i="34" l="1"/>
  <c r="T18" i="34"/>
  <c r="N12" i="34"/>
  <c r="T12" i="34" l="1"/>
  <c r="F8" i="32"/>
  <c r="AG8" i="32" s="1"/>
  <c r="F14" i="32"/>
  <c r="AG14" i="32" s="1"/>
  <c r="F13" i="32"/>
  <c r="AG13" i="32" s="1"/>
  <c r="F9" i="32"/>
  <c r="AG9" i="32" s="1"/>
  <c r="F18" i="32"/>
  <c r="AG18" i="32" s="1"/>
  <c r="F7" i="32"/>
  <c r="AG7" i="32" s="1"/>
  <c r="F10" i="32"/>
  <c r="AG10" i="32" s="1"/>
  <c r="F12" i="32"/>
  <c r="AG12" i="32" s="1"/>
  <c r="F16" i="32"/>
  <c r="AG16" i="32" s="1"/>
  <c r="W7" i="35" l="1"/>
  <c r="Y7" i="35" s="1"/>
  <c r="W12" i="35"/>
  <c r="Y12" i="35" s="1"/>
  <c r="N12" i="35" l="1"/>
  <c r="N7" i="35"/>
  <c r="T7" i="35" l="1"/>
  <c r="T12" i="35"/>
  <c r="F7" i="33" l="1"/>
  <c r="AG7" i="33" s="1"/>
  <c r="F9" i="33"/>
  <c r="AG9" i="33" s="1"/>
  <c r="F16" i="33"/>
  <c r="AG16" i="33" s="1"/>
  <c r="F13" i="33"/>
  <c r="AG13" i="33" s="1"/>
  <c r="F18" i="33"/>
  <c r="AG18" i="33" s="1"/>
  <c r="F12" i="33"/>
  <c r="AG12" i="33" s="1"/>
  <c r="F8" i="33"/>
  <c r="AG8" i="33" s="1"/>
  <c r="F17" i="33"/>
  <c r="AG17" i="33" s="1"/>
  <c r="F10" i="33"/>
  <c r="AG10" i="33" s="1"/>
  <c r="F14" i="33"/>
  <c r="AG14" i="33" s="1"/>
  <c r="E5" i="1" l="1"/>
  <c r="G5" i="1"/>
  <c r="G19" i="1"/>
  <c r="E19" i="1"/>
  <c r="G17" i="1"/>
  <c r="E17" i="1"/>
  <c r="E13" i="1"/>
  <c r="G13" i="1"/>
  <c r="E11" i="1"/>
  <c r="G11" i="1"/>
  <c r="E10" i="1"/>
  <c r="G10" i="1"/>
  <c r="F13" i="34" l="1"/>
  <c r="AG13" i="34" s="1"/>
  <c r="F9" i="34" l="1"/>
  <c r="AG9" i="34" s="1"/>
  <c r="F10" i="34"/>
  <c r="AG10" i="34" s="1"/>
  <c r="F17" i="34"/>
  <c r="AG17" i="34" s="1"/>
  <c r="F7" i="34"/>
  <c r="AG7" i="34" s="1"/>
  <c r="F16" i="34"/>
  <c r="AG16" i="34" s="1"/>
  <c r="F8" i="34"/>
  <c r="AG8" i="34" s="1"/>
  <c r="F18" i="34"/>
  <c r="AG18" i="34" s="1"/>
  <c r="F14" i="34"/>
  <c r="AG14" i="34" s="1"/>
  <c r="F12" i="34"/>
  <c r="AG12" i="34" s="1"/>
  <c r="F16" i="35" l="1"/>
  <c r="AG16" i="35" s="1"/>
  <c r="F10" i="35"/>
  <c r="AG10" i="35" s="1"/>
  <c r="F8" i="35"/>
  <c r="AG8" i="35" s="1"/>
  <c r="F14" i="35"/>
  <c r="AG14" i="35" s="1"/>
  <c r="F7" i="35"/>
  <c r="AG7" i="35" s="1"/>
  <c r="F18" i="35" l="1"/>
  <c r="AG18" i="35" s="1"/>
  <c r="F17" i="35"/>
  <c r="AG17" i="35" s="1"/>
  <c r="F9" i="35"/>
  <c r="AG9" i="35" s="1"/>
  <c r="F12" i="35"/>
  <c r="AG12" i="35" s="1"/>
  <c r="F13" i="35"/>
  <c r="AG13" i="35" s="1"/>
  <c r="V14" i="2" l="1"/>
  <c r="V8" i="2"/>
  <c r="V9" i="2"/>
  <c r="V18" i="2"/>
  <c r="V15" i="2"/>
  <c r="V13" i="2"/>
  <c r="V17" i="2"/>
  <c r="V10" i="2"/>
  <c r="V7" i="2"/>
  <c r="V16" i="2"/>
  <c r="V12" i="2"/>
  <c r="R16" i="26" l="1"/>
  <c r="W16" i="26" s="1"/>
  <c r="R12" i="26"/>
  <c r="W12" i="26" s="1"/>
  <c r="N16" i="26" l="1"/>
  <c r="N12" i="26"/>
  <c r="R15" i="26"/>
  <c r="W15" i="26" s="1"/>
  <c r="R9" i="26"/>
  <c r="W9" i="26" s="1"/>
  <c r="R18" i="26" l="1"/>
  <c r="W18" i="26" s="1"/>
  <c r="N18" i="26" s="1"/>
  <c r="R7" i="26"/>
  <c r="W7" i="26" s="1"/>
  <c r="N7" i="26" s="1"/>
  <c r="T12" i="26"/>
  <c r="T16" i="26"/>
  <c r="R4" i="26"/>
  <c r="W4" i="26" s="1"/>
  <c r="N15" i="26"/>
  <c r="N9" i="26"/>
  <c r="T18" i="26" l="1"/>
  <c r="T15" i="26"/>
  <c r="T7" i="26"/>
  <c r="T9" i="26"/>
  <c r="Y18" i="26"/>
  <c r="Y7" i="26"/>
  <c r="Y15" i="26"/>
  <c r="Y4" i="26"/>
  <c r="N4" i="26"/>
  <c r="Y16" i="26"/>
  <c r="T4" i="26" l="1"/>
  <c r="R18" i="27" l="1"/>
  <c r="W18" i="27" s="1"/>
  <c r="N18" i="27" s="1"/>
  <c r="R4" i="27"/>
  <c r="W4" i="27" s="1"/>
  <c r="R7" i="27"/>
  <c r="W7" i="27" s="1"/>
  <c r="N7" i="27" s="1"/>
  <c r="R15" i="27"/>
  <c r="W15" i="27" s="1"/>
  <c r="N15" i="27" s="1"/>
  <c r="R9" i="27"/>
  <c r="W9" i="27" s="1"/>
  <c r="R16" i="27"/>
  <c r="W16" i="27" s="1"/>
  <c r="N16" i="27" s="1"/>
  <c r="N9" i="27" l="1"/>
  <c r="T9" i="27" s="1"/>
  <c r="N4" i="27"/>
  <c r="T4" i="27" s="1"/>
  <c r="Y18" i="27"/>
  <c r="Y4" i="27"/>
  <c r="Y7" i="27"/>
  <c r="Y16" i="27"/>
  <c r="T16" i="27"/>
  <c r="T7" i="27"/>
  <c r="T18" i="27"/>
  <c r="T15" i="27"/>
  <c r="R16" i="28" l="1"/>
  <c r="W16" i="28" s="1"/>
  <c r="R4" i="28" l="1"/>
  <c r="W4" i="28" s="1"/>
  <c r="N4" i="28" s="1"/>
  <c r="R15" i="28"/>
  <c r="W15" i="28" s="1"/>
  <c r="N16" i="28"/>
  <c r="Y16" i="28" l="1"/>
  <c r="T16" i="28"/>
  <c r="T4" i="28"/>
  <c r="Y4" i="28"/>
  <c r="N15" i="28"/>
  <c r="Y15" i="28"/>
  <c r="T15" i="28" l="1"/>
  <c r="R5" i="29" l="1"/>
  <c r="W5" i="29" s="1"/>
  <c r="N5" i="29" s="1"/>
  <c r="R7" i="29"/>
  <c r="W7" i="29" s="1"/>
  <c r="N7" i="29" s="1"/>
  <c r="T7" i="29" s="1"/>
  <c r="T5" i="29" l="1"/>
  <c r="U15" i="29"/>
  <c r="R4" i="29" l="1"/>
  <c r="W4" i="29" s="1"/>
  <c r="N4" i="29" s="1"/>
  <c r="T4" i="29" l="1"/>
  <c r="Y4" i="29"/>
  <c r="Y7" i="29"/>
  <c r="Y5" i="29"/>
  <c r="V15" i="29" l="1"/>
  <c r="R5" i="30" l="1"/>
  <c r="W5" i="30" s="1"/>
  <c r="N5" i="30" s="1"/>
  <c r="R4" i="30" l="1"/>
  <c r="T5" i="30"/>
  <c r="Y5" i="30" l="1"/>
  <c r="V4" i="30" l="1"/>
  <c r="V5" i="30"/>
  <c r="F5" i="31" l="1"/>
  <c r="R16" i="31"/>
  <c r="W16" i="31" s="1"/>
  <c r="N16" i="31" s="1"/>
  <c r="R7" i="31"/>
  <c r="W7" i="31" s="1"/>
  <c r="N7" i="31" s="1"/>
  <c r="R12" i="31"/>
  <c r="W12" i="31" s="1"/>
  <c r="N12" i="31" s="1"/>
  <c r="U15" i="31"/>
  <c r="AG5" i="31" l="1"/>
  <c r="F5" i="32" s="1"/>
  <c r="AG5" i="32" s="1"/>
  <c r="F5" i="33" s="1"/>
  <c r="AG5" i="33" s="1"/>
  <c r="Y6" i="31"/>
  <c r="R4" i="31"/>
  <c r="W4" i="31" s="1"/>
  <c r="N4" i="31" s="1"/>
  <c r="R5" i="31"/>
  <c r="W5" i="31" s="1"/>
  <c r="N5" i="31" s="1"/>
  <c r="T7" i="31"/>
  <c r="T16" i="31"/>
  <c r="T12" i="31"/>
  <c r="T4" i="31" l="1"/>
  <c r="Y5" i="31"/>
  <c r="F5" i="34"/>
  <c r="AG5" i="34" s="1"/>
  <c r="T5" i="31"/>
  <c r="Y16" i="31"/>
  <c r="Y12" i="31"/>
  <c r="Y4" i="31"/>
  <c r="Y7" i="31"/>
  <c r="F5" i="35" l="1"/>
  <c r="AG5" i="35" s="1"/>
  <c r="V15" i="31" l="1"/>
  <c r="R12" i="32" l="1"/>
  <c r="W12" i="32" s="1"/>
  <c r="R15" i="32" l="1"/>
  <c r="R4" i="32"/>
  <c r="W4" i="32" s="1"/>
  <c r="N12" i="32"/>
  <c r="R5" i="32"/>
  <c r="W5" i="32" s="1"/>
  <c r="U15" i="32" l="1"/>
  <c r="W15" i="32" s="1"/>
  <c r="Y12" i="32"/>
  <c r="N4" i="32"/>
  <c r="Y4" i="32"/>
  <c r="T12" i="32"/>
  <c r="N5" i="32"/>
  <c r="Y5" i="32"/>
  <c r="N15" i="32" l="1"/>
  <c r="T15" i="32" s="1"/>
  <c r="Y15" i="32"/>
  <c r="T4" i="32"/>
  <c r="T5" i="32"/>
  <c r="V15" i="32" l="1"/>
  <c r="R7" i="33" l="1"/>
  <c r="W7" i="33" s="1"/>
  <c r="N7" i="33" s="1"/>
  <c r="R16" i="33"/>
  <c r="W16" i="33" s="1"/>
  <c r="N16" i="33" s="1"/>
  <c r="T16" i="33" l="1"/>
  <c r="T7" i="33"/>
  <c r="R15" i="33" l="1"/>
  <c r="W15" i="33" s="1"/>
  <c r="N15" i="33" s="1"/>
  <c r="T15" i="33" s="1"/>
  <c r="R4" i="33"/>
  <c r="W4" i="33" s="1"/>
  <c r="N4" i="33" s="1"/>
  <c r="R12" i="33"/>
  <c r="W12" i="33" s="1"/>
  <c r="N12" i="33" s="1"/>
  <c r="T12" i="33" s="1"/>
  <c r="Y4" i="33" l="1"/>
  <c r="Y12" i="33"/>
  <c r="Y16" i="33"/>
  <c r="Y7" i="33"/>
  <c r="Y15" i="33"/>
  <c r="T4" i="33"/>
  <c r="R7" i="34" l="1"/>
  <c r="W7" i="34" s="1"/>
  <c r="R4" i="34"/>
  <c r="W4" i="34" s="1"/>
  <c r="R16" i="34"/>
  <c r="W16" i="34" s="1"/>
  <c r="R15" i="34"/>
  <c r="W15" i="34" s="1"/>
  <c r="R9" i="34"/>
  <c r="W9" i="34" s="1"/>
  <c r="Y16" i="34" l="1"/>
  <c r="N16" i="34"/>
  <c r="N4" i="34"/>
  <c r="Y4" i="34"/>
  <c r="N15" i="34"/>
  <c r="Y15" i="34"/>
  <c r="Y7" i="34"/>
  <c r="N7" i="34"/>
  <c r="Y9" i="34"/>
  <c r="N9" i="34"/>
  <c r="T16" i="34" l="1"/>
  <c r="T15" i="34"/>
  <c r="T7" i="34"/>
  <c r="T4" i="34"/>
  <c r="T9" i="34"/>
  <c r="R18" i="35" l="1"/>
  <c r="W18" i="35" s="1"/>
  <c r="N18" i="35" l="1"/>
  <c r="R15" i="35"/>
  <c r="W15" i="35" s="1"/>
  <c r="R9" i="35" l="1"/>
  <c r="W9" i="35" s="1"/>
  <c r="N9" i="35" s="1"/>
  <c r="T9" i="35" s="1"/>
  <c r="R16" i="35"/>
  <c r="W16" i="35" s="1"/>
  <c r="N16" i="35" s="1"/>
  <c r="R4" i="35"/>
  <c r="W4" i="35" s="1"/>
  <c r="N15" i="35"/>
  <c r="T18" i="35"/>
  <c r="N4" i="35" l="1"/>
  <c r="T4" i="35" s="1"/>
  <c r="Y15" i="35"/>
  <c r="Y9" i="35"/>
  <c r="Y4" i="35"/>
  <c r="Y18" i="35"/>
  <c r="Y16" i="35"/>
  <c r="T16" i="35"/>
  <c r="T15" i="35"/>
  <c r="B5" i="32" l="1"/>
  <c r="AJ5" i="32" s="1"/>
  <c r="B5" i="31"/>
  <c r="AJ5" i="31" s="1"/>
  <c r="B5" i="30"/>
  <c r="AJ5" i="30" s="1"/>
  <c r="B5" i="33"/>
  <c r="AJ5" i="33" s="1"/>
  <c r="B5" i="29"/>
  <c r="AJ5" i="29" s="1"/>
  <c r="B5" i="34"/>
  <c r="AJ5" i="34" s="1"/>
  <c r="B5" i="35"/>
  <c r="AJ5" i="35" s="1"/>
  <c r="B5" i="2"/>
  <c r="B5" i="28"/>
  <c r="AJ5" i="28" s="1"/>
  <c r="B5" i="26"/>
  <c r="AJ5" i="26" s="1"/>
  <c r="AU6" i="1"/>
  <c r="B5" i="27"/>
  <c r="AJ5" i="27" s="1"/>
  <c r="AJ5" i="2" l="1"/>
  <c r="R6" i="32"/>
  <c r="W6" i="32" s="1"/>
  <c r="U4" i="30"/>
  <c r="W4" i="30" s="1"/>
  <c r="F4" i="31"/>
  <c r="AG4" i="31" s="1"/>
  <c r="F4" i="32" s="1"/>
  <c r="AG4" i="32" s="1"/>
  <c r="R6" i="27"/>
  <c r="W6" i="27" s="1"/>
  <c r="R17" i="27"/>
  <c r="W17" i="27" s="1"/>
  <c r="R17" i="26"/>
  <c r="W17" i="26" s="1"/>
  <c r="Y17" i="26" s="1"/>
  <c r="V5" i="2"/>
  <c r="Y17" i="27" l="1"/>
  <c r="N17" i="27"/>
  <c r="T17" i="27" s="1"/>
  <c r="Y4" i="30"/>
  <c r="N4" i="30"/>
  <c r="T4" i="30" s="1"/>
  <c r="Y6" i="32"/>
  <c r="N6" i="32"/>
  <c r="N17" i="26"/>
  <c r="T17" i="26" s="1"/>
  <c r="N6" i="27"/>
  <c r="T6" i="27" s="1"/>
  <c r="T6" i="32" l="1"/>
  <c r="O14" i="2" l="1"/>
  <c r="N15" i="1" s="1"/>
  <c r="O15" i="2"/>
  <c r="N16" i="1" s="1"/>
  <c r="O8" i="2"/>
  <c r="N9" i="1" s="1"/>
  <c r="E9" i="1" s="1"/>
  <c r="R15" i="2"/>
  <c r="R15" i="30"/>
  <c r="W15" i="30" s="1"/>
  <c r="R15" i="29"/>
  <c r="W15" i="29" s="1"/>
  <c r="R15" i="31"/>
  <c r="W15" i="31" s="1"/>
  <c r="P15" i="2"/>
  <c r="Q15" i="2" s="1"/>
  <c r="E35" i="2" s="1"/>
  <c r="S26" i="2" l="1"/>
  <c r="W15" i="2"/>
  <c r="N15" i="31"/>
  <c r="T15" i="31" s="1"/>
  <c r="Y15" i="31"/>
  <c r="Y14" i="2"/>
  <c r="Y15" i="2"/>
  <c r="Y8" i="2"/>
  <c r="N15" i="30"/>
  <c r="T15" i="30" s="1"/>
  <c r="Y15" i="30"/>
  <c r="N15" i="29"/>
  <c r="T15" i="29" s="1"/>
  <c r="Y15" i="29"/>
  <c r="E16" i="1"/>
  <c r="G16" i="1"/>
  <c r="E15" i="1"/>
  <c r="G15" i="1"/>
  <c r="G9" i="1"/>
  <c r="N15" i="2" l="1"/>
  <c r="Y10" i="2"/>
  <c r="E21" i="1"/>
  <c r="G21" i="1"/>
  <c r="T15" i="2" l="1"/>
  <c r="E28" i="2"/>
  <c r="G30" i="2" l="1"/>
  <c r="I27" i="2"/>
  <c r="I32" i="2"/>
  <c r="I31" i="2"/>
  <c r="G26" i="2"/>
  <c r="G33" i="2"/>
  <c r="I28" i="2"/>
  <c r="M28" i="2" s="1"/>
  <c r="G24" i="2"/>
  <c r="G23" i="2"/>
  <c r="G27" i="2"/>
  <c r="G31" i="2"/>
  <c r="E29" i="2"/>
  <c r="I33" i="2"/>
  <c r="G28" i="2"/>
  <c r="I26" i="2"/>
  <c r="E31" i="2"/>
  <c r="E32" i="2" s="1"/>
  <c r="I29" i="2"/>
  <c r="G25" i="2"/>
  <c r="G22" i="2"/>
  <c r="I30" i="2"/>
  <c r="M30" i="2" s="1"/>
  <c r="G29" i="2"/>
  <c r="G32" i="2"/>
  <c r="R6" i="33"/>
  <c r="W6" i="33" s="1"/>
  <c r="I11" i="2" l="1"/>
  <c r="X11" i="2" s="1"/>
  <c r="G11" i="2"/>
  <c r="M33" i="2"/>
  <c r="M31" i="2"/>
  <c r="M26" i="2"/>
  <c r="M32" i="2"/>
  <c r="M29" i="2"/>
  <c r="M27" i="2"/>
  <c r="G10" i="2"/>
  <c r="I12" i="2"/>
  <c r="X12" i="2" s="1"/>
  <c r="I7" i="2"/>
  <c r="X7" i="2" s="1"/>
  <c r="I10" i="2"/>
  <c r="X10" i="2" s="1"/>
  <c r="I4" i="2"/>
  <c r="X4" i="2" s="1"/>
  <c r="G17" i="2"/>
  <c r="G18" i="2"/>
  <c r="I14" i="2"/>
  <c r="X14" i="2" s="1"/>
  <c r="I6" i="2"/>
  <c r="X6" i="2" s="1"/>
  <c r="I5" i="2"/>
  <c r="X5" i="2" s="1"/>
  <c r="G6" i="2"/>
  <c r="G15" i="2"/>
  <c r="G13" i="2"/>
  <c r="G8" i="2"/>
  <c r="I9" i="2"/>
  <c r="X9" i="2" s="1"/>
  <c r="E33" i="2"/>
  <c r="I18" i="2"/>
  <c r="X18" i="2" s="1"/>
  <c r="I16" i="2"/>
  <c r="X16" i="2" s="1"/>
  <c r="G12" i="2"/>
  <c r="I13" i="2"/>
  <c r="X13" i="2" s="1"/>
  <c r="G4" i="2"/>
  <c r="G16" i="2"/>
  <c r="G5" i="2"/>
  <c r="G14" i="2"/>
  <c r="I8" i="2"/>
  <c r="X8" i="2" s="1"/>
  <c r="G9" i="2"/>
  <c r="G7" i="2"/>
  <c r="I17" i="2"/>
  <c r="X17" i="2" s="1"/>
  <c r="I15" i="2"/>
  <c r="X15" i="2" s="1"/>
  <c r="R8" i="26"/>
  <c r="W8" i="26" s="1"/>
  <c r="N6" i="33"/>
  <c r="Y6" i="33"/>
  <c r="N8" i="26" l="1"/>
  <c r="T8" i="26" s="1"/>
  <c r="AC11" i="2"/>
  <c r="Z11" i="2"/>
  <c r="K33" i="2"/>
  <c r="K32" i="2"/>
  <c r="K29" i="2"/>
  <c r="Z18" i="2"/>
  <c r="AC18" i="2"/>
  <c r="AD18" i="2" s="1"/>
  <c r="AE18" i="2" s="1"/>
  <c r="AF18" i="2" s="1"/>
  <c r="K27" i="2"/>
  <c r="K26" i="2"/>
  <c r="AC9" i="2"/>
  <c r="AD9" i="2" s="1"/>
  <c r="AE9" i="2" s="1"/>
  <c r="AF9" i="2" s="1"/>
  <c r="Z9" i="2"/>
  <c r="Z14" i="2"/>
  <c r="AC14" i="2"/>
  <c r="K31" i="2"/>
  <c r="K30" i="2"/>
  <c r="AC8" i="2"/>
  <c r="Z8" i="2"/>
  <c r="Z15" i="2"/>
  <c r="AC15" i="2"/>
  <c r="AD15" i="2" s="1"/>
  <c r="AE15" i="2" s="1"/>
  <c r="AF15" i="2" s="1"/>
  <c r="AC5" i="2"/>
  <c r="AD5" i="2" s="1"/>
  <c r="AE5" i="2" s="1"/>
  <c r="AF5" i="2" s="1"/>
  <c r="Z5" i="2"/>
  <c r="AC10" i="2"/>
  <c r="Z10" i="2"/>
  <c r="Z6" i="2"/>
  <c r="AC6" i="2"/>
  <c r="AD6" i="2" s="1"/>
  <c r="AE6" i="2" s="1"/>
  <c r="AF6" i="2" s="1"/>
  <c r="AC17" i="2"/>
  <c r="AD17" i="2" s="1"/>
  <c r="AE17" i="2" s="1"/>
  <c r="AF17" i="2" s="1"/>
  <c r="Z17" i="2"/>
  <c r="Z4" i="2"/>
  <c r="AC4" i="2"/>
  <c r="AD4" i="2" s="1"/>
  <c r="AE4" i="2" s="1"/>
  <c r="AF4" i="2" s="1"/>
  <c r="K28" i="2"/>
  <c r="AC13" i="2"/>
  <c r="AD13" i="2" s="1"/>
  <c r="AE13" i="2" s="1"/>
  <c r="AF13" i="2" s="1"/>
  <c r="Z13" i="2"/>
  <c r="Z7" i="2"/>
  <c r="AC7" i="2"/>
  <c r="AD7" i="2" s="1"/>
  <c r="AE7" i="2" s="1"/>
  <c r="AF7" i="2" s="1"/>
  <c r="Z16" i="2"/>
  <c r="AC16" i="2"/>
  <c r="AD16" i="2" s="1"/>
  <c r="AE16" i="2" s="1"/>
  <c r="AF16" i="2" s="1"/>
  <c r="AC12" i="2"/>
  <c r="AD12" i="2" s="1"/>
  <c r="AE12" i="2" s="1"/>
  <c r="AF12" i="2" s="1"/>
  <c r="Z12" i="2"/>
  <c r="T6" i="33"/>
  <c r="R10" i="26"/>
  <c r="W10" i="26" s="1"/>
  <c r="R14" i="26"/>
  <c r="W14" i="26" s="1"/>
  <c r="Y10" i="26" l="1"/>
  <c r="Y13" i="26"/>
  <c r="Y5" i="26"/>
  <c r="Y8" i="26"/>
  <c r="Y12" i="26"/>
  <c r="Y9" i="26"/>
  <c r="AB11" i="2"/>
  <c r="AA11" i="2"/>
  <c r="O12" i="1" s="1"/>
  <c r="AH16" i="2"/>
  <c r="H16" i="26" s="1"/>
  <c r="AH7" i="2"/>
  <c r="H7" i="26" s="1"/>
  <c r="AB15" i="2"/>
  <c r="AA15" i="2"/>
  <c r="O16" i="1" s="1"/>
  <c r="AH15" i="2"/>
  <c r="H15" i="26" s="1"/>
  <c r="AB14" i="2"/>
  <c r="AA14" i="2"/>
  <c r="O15" i="1" s="1"/>
  <c r="AA9" i="2"/>
  <c r="O10" i="1" s="1"/>
  <c r="AB9" i="2"/>
  <c r="AH9" i="2"/>
  <c r="H9" i="26" s="1"/>
  <c r="AA16" i="2"/>
  <c r="O17" i="1" s="1"/>
  <c r="AB16" i="2"/>
  <c r="AA13" i="2"/>
  <c r="O14" i="1" s="1"/>
  <c r="AB13" i="2"/>
  <c r="AH5" i="2"/>
  <c r="H5" i="26" s="1"/>
  <c r="AB8" i="2"/>
  <c r="AA8" i="2"/>
  <c r="O9" i="1" s="1"/>
  <c r="AH4" i="2"/>
  <c r="H4" i="26" s="1"/>
  <c r="AA4" i="2"/>
  <c r="I25" i="2" s="1"/>
  <c r="AB4" i="2"/>
  <c r="E30" i="2"/>
  <c r="AD8" i="2" s="1"/>
  <c r="AE8" i="2" s="1"/>
  <c r="AF8" i="2" s="1"/>
  <c r="AA17" i="2"/>
  <c r="O18" i="1" s="1"/>
  <c r="AB17" i="2"/>
  <c r="AH6" i="2"/>
  <c r="H6" i="26" s="1"/>
  <c r="AA10" i="2"/>
  <c r="O11" i="1" s="1"/>
  <c r="AB10" i="2"/>
  <c r="AB12" i="2"/>
  <c r="AA12" i="2"/>
  <c r="O13" i="1" s="1"/>
  <c r="AH18" i="2"/>
  <c r="H18" i="26" s="1"/>
  <c r="AA5" i="2"/>
  <c r="O6" i="1" s="1"/>
  <c r="AB5" i="2"/>
  <c r="AA7" i="2"/>
  <c r="O8" i="1" s="1"/>
  <c r="AB7" i="2"/>
  <c r="AH13" i="2"/>
  <c r="H13" i="26" s="1"/>
  <c r="AH17" i="2"/>
  <c r="H17" i="26" s="1"/>
  <c r="AA6" i="2"/>
  <c r="O7" i="1" s="1"/>
  <c r="AB6" i="2"/>
  <c r="AH12" i="2"/>
  <c r="H12" i="26" s="1"/>
  <c r="AA18" i="2"/>
  <c r="O19" i="1" s="1"/>
  <c r="AB18" i="2"/>
  <c r="N10" i="26"/>
  <c r="T10" i="26" s="1"/>
  <c r="Y14" i="26"/>
  <c r="N14" i="26"/>
  <c r="M25" i="2" l="1"/>
  <c r="K25" i="2"/>
  <c r="AD11" i="2"/>
  <c r="AE11" i="2" s="1"/>
  <c r="AF11" i="2" s="1"/>
  <c r="AH11" i="2" s="1"/>
  <c r="H11" i="26" s="1"/>
  <c r="P12" i="1"/>
  <c r="AI11" i="2"/>
  <c r="AI17" i="2"/>
  <c r="P18" i="1"/>
  <c r="P10" i="1"/>
  <c r="AI9" i="2"/>
  <c r="AH8" i="2"/>
  <c r="H8" i="26" s="1"/>
  <c r="P8" i="1"/>
  <c r="AI7" i="2"/>
  <c r="I22" i="2"/>
  <c r="I23" i="2"/>
  <c r="O5" i="1"/>
  <c r="I24" i="2"/>
  <c r="AI14" i="2"/>
  <c r="P15" i="1"/>
  <c r="AI4" i="2"/>
  <c r="P5" i="1"/>
  <c r="P6" i="1"/>
  <c r="AI5" i="2"/>
  <c r="AD14" i="2"/>
  <c r="AE14" i="2" s="1"/>
  <c r="AF14" i="2" s="1"/>
  <c r="AI8" i="2"/>
  <c r="P9" i="1"/>
  <c r="AI18" i="2"/>
  <c r="P19" i="1"/>
  <c r="AD10" i="2"/>
  <c r="AE10" i="2" s="1"/>
  <c r="AF10" i="2" s="1"/>
  <c r="AI15" i="2"/>
  <c r="P16" i="1"/>
  <c r="P13" i="1"/>
  <c r="AI12" i="2"/>
  <c r="AI13" i="2"/>
  <c r="P14" i="1"/>
  <c r="P11" i="1"/>
  <c r="AI10" i="2"/>
  <c r="P7" i="1"/>
  <c r="AI6" i="2"/>
  <c r="P17" i="1"/>
  <c r="AI16" i="2"/>
  <c r="T14" i="26"/>
  <c r="U11" i="26" l="1"/>
  <c r="W11" i="26" s="1"/>
  <c r="AH14" i="2"/>
  <c r="H14" i="26" s="1"/>
  <c r="M24" i="2"/>
  <c r="K24" i="2"/>
  <c r="K23" i="2"/>
  <c r="M23" i="2"/>
  <c r="AH10" i="2"/>
  <c r="H10" i="26" s="1"/>
  <c r="K22" i="2" a="1"/>
  <c r="M22" i="2"/>
  <c r="N11" i="26" l="1"/>
  <c r="Y11" i="26"/>
  <c r="T11" i="26" l="1"/>
  <c r="E28" i="26"/>
  <c r="R14" i="27"/>
  <c r="W14" i="27" s="1"/>
  <c r="E31" i="26" l="1"/>
  <c r="E32" i="26" s="1"/>
  <c r="I30" i="26"/>
  <c r="I31" i="26"/>
  <c r="G25" i="26"/>
  <c r="G31" i="26"/>
  <c r="G30" i="26"/>
  <c r="G28" i="26"/>
  <c r="G29" i="26"/>
  <c r="I29" i="26"/>
  <c r="G23" i="26"/>
  <c r="E29" i="26"/>
  <c r="G32" i="26"/>
  <c r="G22" i="26"/>
  <c r="I32" i="26"/>
  <c r="G24" i="26"/>
  <c r="I33" i="26"/>
  <c r="G26" i="26"/>
  <c r="G33" i="26"/>
  <c r="G27" i="26"/>
  <c r="R8" i="27"/>
  <c r="W8" i="27" s="1"/>
  <c r="N14" i="27"/>
  <c r="M33" i="26" l="1"/>
  <c r="M31" i="26"/>
  <c r="M30" i="26"/>
  <c r="M29" i="26"/>
  <c r="M32" i="26"/>
  <c r="G13" i="26"/>
  <c r="I16" i="26"/>
  <c r="X16" i="26" s="1"/>
  <c r="I12" i="26"/>
  <c r="X12" i="26" s="1"/>
  <c r="G10" i="26"/>
  <c r="G9" i="26"/>
  <c r="G7" i="26"/>
  <c r="I10" i="26"/>
  <c r="X10" i="26" s="1"/>
  <c r="G4" i="26"/>
  <c r="I15" i="26"/>
  <c r="X15" i="26" s="1"/>
  <c r="I8" i="26"/>
  <c r="X8" i="26" s="1"/>
  <c r="G17" i="26"/>
  <c r="G15" i="26"/>
  <c r="G16" i="26"/>
  <c r="I7" i="26"/>
  <c r="X7" i="26" s="1"/>
  <c r="G11" i="26"/>
  <c r="I17" i="26"/>
  <c r="X17" i="26" s="1"/>
  <c r="I9" i="26"/>
  <c r="X9" i="26" s="1"/>
  <c r="I6" i="26"/>
  <c r="X6" i="26" s="1"/>
  <c r="G5" i="26"/>
  <c r="E33" i="26"/>
  <c r="G12" i="26"/>
  <c r="G18" i="26"/>
  <c r="I11" i="26"/>
  <c r="I14" i="26"/>
  <c r="X14" i="26" s="1"/>
  <c r="I13" i="26"/>
  <c r="X13" i="26" s="1"/>
  <c r="I4" i="26"/>
  <c r="X4" i="26" s="1"/>
  <c r="I18" i="26"/>
  <c r="X18" i="26" s="1"/>
  <c r="G6" i="26"/>
  <c r="G14" i="26"/>
  <c r="G8" i="26"/>
  <c r="I5" i="26"/>
  <c r="X5" i="26" s="1"/>
  <c r="R10" i="27"/>
  <c r="W10" i="27" s="1"/>
  <c r="Y9" i="27" s="1"/>
  <c r="N8" i="27"/>
  <c r="T8" i="27" s="1"/>
  <c r="Y8" i="27"/>
  <c r="T14" i="27"/>
  <c r="Z16" i="26" l="1"/>
  <c r="AC16" i="26"/>
  <c r="AD16" i="26" s="1"/>
  <c r="AE16" i="26" s="1"/>
  <c r="AF16" i="26" s="1"/>
  <c r="AH16" i="26" s="1"/>
  <c r="H16" i="27" s="1"/>
  <c r="AC18" i="26"/>
  <c r="AD18" i="26" s="1"/>
  <c r="AE18" i="26" s="1"/>
  <c r="AF18" i="26" s="1"/>
  <c r="AH18" i="26" s="1"/>
  <c r="H18" i="27" s="1"/>
  <c r="Z18" i="26"/>
  <c r="AC6" i="26"/>
  <c r="AD6" i="26" s="1"/>
  <c r="AE6" i="26" s="1"/>
  <c r="AF6" i="26" s="1"/>
  <c r="AH6" i="26" s="1"/>
  <c r="H6" i="27" s="1"/>
  <c r="Z6" i="26"/>
  <c r="Z4" i="26"/>
  <c r="AC4" i="26"/>
  <c r="AD4" i="26" s="1"/>
  <c r="AE4" i="26" s="1"/>
  <c r="AF4" i="26" s="1"/>
  <c r="AH4" i="26" s="1"/>
  <c r="H4" i="27" s="1"/>
  <c r="AC17" i="26"/>
  <c r="AD17" i="26" s="1"/>
  <c r="AE17" i="26" s="1"/>
  <c r="AF17" i="26" s="1"/>
  <c r="AH17" i="26" s="1"/>
  <c r="H17" i="27" s="1"/>
  <c r="Z17" i="26"/>
  <c r="AC15" i="26"/>
  <c r="AD15" i="26" s="1"/>
  <c r="AE15" i="26" s="1"/>
  <c r="AF15" i="26" s="1"/>
  <c r="AH15" i="26" s="1"/>
  <c r="H15" i="27" s="1"/>
  <c r="Z15" i="26"/>
  <c r="Z9" i="26"/>
  <c r="AC9" i="26"/>
  <c r="AC7" i="26"/>
  <c r="AD7" i="26" s="1"/>
  <c r="AE7" i="26" s="1"/>
  <c r="AF7" i="26" s="1"/>
  <c r="AH7" i="26" s="1"/>
  <c r="H7" i="27" s="1"/>
  <c r="Z7" i="26"/>
  <c r="AC8" i="26"/>
  <c r="AC13" i="26"/>
  <c r="AC14" i="26"/>
  <c r="AC12" i="26"/>
  <c r="AC5" i="26"/>
  <c r="X11" i="26"/>
  <c r="Z5" i="26" s="1"/>
  <c r="AC10" i="26"/>
  <c r="Z10" i="26"/>
  <c r="Y10" i="27"/>
  <c r="N10" i="27"/>
  <c r="Z12" i="26" l="1"/>
  <c r="AB12" i="26" s="1"/>
  <c r="Z14" i="26"/>
  <c r="AB14" i="26" s="1"/>
  <c r="Z13" i="26"/>
  <c r="AA13" i="26" s="1"/>
  <c r="R14" i="1" s="1"/>
  <c r="Z8" i="26"/>
  <c r="AA4" i="26"/>
  <c r="AB4" i="26"/>
  <c r="AB6" i="26"/>
  <c r="AA6" i="26"/>
  <c r="R7" i="1" s="1"/>
  <c r="AA18" i="26"/>
  <c r="R19" i="1" s="1"/>
  <c r="AB18" i="26"/>
  <c r="AC11" i="26"/>
  <c r="AD11" i="26" s="1"/>
  <c r="AE11" i="26" s="1"/>
  <c r="AF11" i="26" s="1"/>
  <c r="AH11" i="26" s="1"/>
  <c r="H11" i="27" s="1"/>
  <c r="Z11" i="26"/>
  <c r="K30" i="26"/>
  <c r="K32" i="26"/>
  <c r="AA10" i="26"/>
  <c r="R11" i="1" s="1"/>
  <c r="AB10" i="26"/>
  <c r="AA7" i="26"/>
  <c r="R8" i="1" s="1"/>
  <c r="AB7" i="26"/>
  <c r="AA9" i="26"/>
  <c r="R10" i="1" s="1"/>
  <c r="AB9" i="26"/>
  <c r="AB17" i="26"/>
  <c r="AA17" i="26"/>
  <c r="R18" i="1" s="1"/>
  <c r="AB16" i="26"/>
  <c r="AA16" i="26"/>
  <c r="R17" i="1" s="1"/>
  <c r="K31" i="26"/>
  <c r="AA15" i="26"/>
  <c r="R16" i="1" s="1"/>
  <c r="AB15" i="26"/>
  <c r="AA5" i="26"/>
  <c r="R6" i="1" s="1"/>
  <c r="AB5" i="26"/>
  <c r="K29" i="26"/>
  <c r="K33" i="26"/>
  <c r="T10" i="27"/>
  <c r="E30" i="26" l="1"/>
  <c r="AD9" i="26" s="1"/>
  <c r="AE9" i="26" s="1"/>
  <c r="AF9" i="26" s="1"/>
  <c r="AH9" i="26" s="1"/>
  <c r="H9" i="27" s="1"/>
  <c r="AD13" i="26"/>
  <c r="AE13" i="26" s="1"/>
  <c r="AF13" i="26" s="1"/>
  <c r="AH13" i="26" s="1"/>
  <c r="H13" i="27" s="1"/>
  <c r="R5" i="1"/>
  <c r="AA14" i="26"/>
  <c r="R15" i="1" s="1"/>
  <c r="AB8" i="26"/>
  <c r="S9" i="1" s="1"/>
  <c r="AA8" i="26"/>
  <c r="R9" i="1" s="1"/>
  <c r="AA12" i="26"/>
  <c r="R13" i="1" s="1"/>
  <c r="AB13" i="26"/>
  <c r="S14" i="1" s="1"/>
  <c r="U11" i="27"/>
  <c r="W11" i="27" s="1"/>
  <c r="AB11" i="26"/>
  <c r="AA11" i="26"/>
  <c r="R12" i="1" s="1"/>
  <c r="S16" i="1"/>
  <c r="AI15" i="26"/>
  <c r="AI18" i="26"/>
  <c r="S19" i="1"/>
  <c r="AI12" i="26"/>
  <c r="S13" i="1"/>
  <c r="S15" i="1"/>
  <c r="AI14" i="26"/>
  <c r="S17" i="1"/>
  <c r="AI16" i="26"/>
  <c r="S7" i="1"/>
  <c r="AI6" i="26"/>
  <c r="AI13" i="26"/>
  <c r="S10" i="1"/>
  <c r="AI9" i="26"/>
  <c r="S11" i="1"/>
  <c r="AI10" i="26"/>
  <c r="AI4" i="26"/>
  <c r="S5" i="1"/>
  <c r="AI17" i="26"/>
  <c r="S18" i="1"/>
  <c r="S8" i="1"/>
  <c r="AI7" i="26"/>
  <c r="AI5" i="26"/>
  <c r="S6" i="1"/>
  <c r="R10" i="28"/>
  <c r="W10" i="28" s="1"/>
  <c r="R14" i="28"/>
  <c r="W14" i="28" s="1"/>
  <c r="R8" i="28"/>
  <c r="W8" i="28" s="1"/>
  <c r="N11" i="27" l="1"/>
  <c r="Y12" i="27"/>
  <c r="Y6" i="27"/>
  <c r="Y15" i="27"/>
  <c r="Y14" i="27"/>
  <c r="AD14" i="26"/>
  <c r="AE14" i="26" s="1"/>
  <c r="AF14" i="26" s="1"/>
  <c r="AH14" i="26" s="1"/>
  <c r="H14" i="27" s="1"/>
  <c r="AD8" i="26"/>
  <c r="AE8" i="26" s="1"/>
  <c r="AF8" i="26" s="1"/>
  <c r="AH8" i="26" s="1"/>
  <c r="H8" i="27" s="1"/>
  <c r="AD5" i="26"/>
  <c r="AE5" i="26" s="1"/>
  <c r="AF5" i="26" s="1"/>
  <c r="AH5" i="26" s="1"/>
  <c r="H5" i="27" s="1"/>
  <c r="AD12" i="26"/>
  <c r="AE12" i="26" s="1"/>
  <c r="AF12" i="26" s="1"/>
  <c r="AH12" i="26" s="1"/>
  <c r="H12" i="27" s="1"/>
  <c r="AD10" i="26"/>
  <c r="AE10" i="26" s="1"/>
  <c r="AF10" i="26" s="1"/>
  <c r="AH10" i="26" s="1"/>
  <c r="H10" i="27" s="1"/>
  <c r="I27" i="26"/>
  <c r="K27" i="26" s="1"/>
  <c r="I28" i="26"/>
  <c r="I26" i="26"/>
  <c r="K26" i="26" s="1"/>
  <c r="I25" i="26"/>
  <c r="K25" i="26" s="1"/>
  <c r="I22" i="26"/>
  <c r="K22" i="26" s="1" a="1"/>
  <c r="AI8" i="26"/>
  <c r="I23" i="26"/>
  <c r="M28" i="26"/>
  <c r="K28" i="26"/>
  <c r="I24" i="26"/>
  <c r="Y11" i="27"/>
  <c r="AI11" i="26"/>
  <c r="S12" i="1"/>
  <c r="N14" i="28"/>
  <c r="T14" i="28" s="1"/>
  <c r="N10" i="28"/>
  <c r="T10" i="28" s="1"/>
  <c r="N8" i="28"/>
  <c r="T8" i="28" s="1"/>
  <c r="Y8" i="28"/>
  <c r="M27" i="26" l="1"/>
  <c r="M22" i="26"/>
  <c r="M25" i="26"/>
  <c r="M26" i="26"/>
  <c r="M24" i="26"/>
  <c r="K24" i="26"/>
  <c r="M23" i="26"/>
  <c r="K23" i="26"/>
  <c r="T11" i="27"/>
  <c r="E28" i="27"/>
  <c r="G29" i="27" l="1"/>
  <c r="I31" i="27"/>
  <c r="G30" i="27"/>
  <c r="G32" i="27"/>
  <c r="G26" i="27"/>
  <c r="I30" i="27"/>
  <c r="G22" i="27"/>
  <c r="G24" i="27"/>
  <c r="G28" i="27"/>
  <c r="I32" i="27"/>
  <c r="G25" i="27"/>
  <c r="E29" i="27"/>
  <c r="G23" i="27"/>
  <c r="G27" i="27"/>
  <c r="G31" i="27"/>
  <c r="G33" i="27"/>
  <c r="I33" i="27"/>
  <c r="E31" i="27"/>
  <c r="E32" i="27" s="1"/>
  <c r="M32" i="27" l="1"/>
  <c r="E33" i="27"/>
  <c r="I17" i="27"/>
  <c r="X17" i="27" s="1"/>
  <c r="G16" i="27"/>
  <c r="G7" i="27"/>
  <c r="G13" i="27"/>
  <c r="I18" i="27"/>
  <c r="X18" i="27" s="1"/>
  <c r="I4" i="27"/>
  <c r="X4" i="27" s="1"/>
  <c r="I5" i="27"/>
  <c r="X5" i="27" s="1"/>
  <c r="G15" i="27"/>
  <c r="I15" i="27"/>
  <c r="I8" i="27"/>
  <c r="X8" i="27" s="1"/>
  <c r="I6" i="27"/>
  <c r="X6" i="27" s="1"/>
  <c r="G17" i="27"/>
  <c r="I7" i="27"/>
  <c r="X7" i="27" s="1"/>
  <c r="G14" i="27"/>
  <c r="I10" i="27"/>
  <c r="X10" i="27" s="1"/>
  <c r="G10" i="27"/>
  <c r="I13" i="27"/>
  <c r="X13" i="27" s="1"/>
  <c r="I16" i="27"/>
  <c r="X16" i="27" s="1"/>
  <c r="I14" i="27"/>
  <c r="X14" i="27" s="1"/>
  <c r="G11" i="27"/>
  <c r="G12" i="27"/>
  <c r="G18" i="27"/>
  <c r="G4" i="27"/>
  <c r="I11" i="27"/>
  <c r="G5" i="27"/>
  <c r="G6" i="27"/>
  <c r="I12" i="27"/>
  <c r="X12" i="27" s="1"/>
  <c r="I9" i="27"/>
  <c r="X9" i="27" s="1"/>
  <c r="G8" i="27"/>
  <c r="G9" i="27"/>
  <c r="M30" i="27"/>
  <c r="M33" i="27"/>
  <c r="M31" i="27"/>
  <c r="R9" i="28"/>
  <c r="W9" i="28" s="1"/>
  <c r="R6" i="28"/>
  <c r="W6" i="28" s="1"/>
  <c r="Y10" i="28" l="1"/>
  <c r="Y14" i="28"/>
  <c r="X15" i="27"/>
  <c r="V15" i="27"/>
  <c r="AC15" i="27"/>
  <c r="Z5" i="27"/>
  <c r="AC5" i="27"/>
  <c r="AD5" i="27" s="1"/>
  <c r="AE5" i="27" s="1"/>
  <c r="AF5" i="27" s="1"/>
  <c r="AH5" i="27" s="1"/>
  <c r="H5" i="28" s="1"/>
  <c r="AC18" i="27"/>
  <c r="AD18" i="27" s="1"/>
  <c r="AE18" i="27" s="1"/>
  <c r="AF18" i="27" s="1"/>
  <c r="AH18" i="27" s="1"/>
  <c r="H18" i="28" s="1"/>
  <c r="Z18" i="27"/>
  <c r="AC14" i="27"/>
  <c r="Z4" i="27"/>
  <c r="AC4" i="27"/>
  <c r="AD4" i="27" s="1"/>
  <c r="AE4" i="27" s="1"/>
  <c r="AF4" i="27" s="1"/>
  <c r="AH4" i="27" s="1"/>
  <c r="H4" i="28" s="1"/>
  <c r="AC16" i="27"/>
  <c r="AD16" i="27" s="1"/>
  <c r="AE16" i="27" s="1"/>
  <c r="AF16" i="27" s="1"/>
  <c r="AH16" i="27" s="1"/>
  <c r="H16" i="28" s="1"/>
  <c r="Z16" i="27"/>
  <c r="AC13" i="27"/>
  <c r="AD13" i="27" s="1"/>
  <c r="AE13" i="27" s="1"/>
  <c r="AF13" i="27" s="1"/>
  <c r="AH13" i="27" s="1"/>
  <c r="H13" i="28" s="1"/>
  <c r="Z13" i="27"/>
  <c r="AC17" i="27"/>
  <c r="AD17" i="27" s="1"/>
  <c r="AE17" i="27" s="1"/>
  <c r="AF17" i="27" s="1"/>
  <c r="AH17" i="27" s="1"/>
  <c r="H17" i="28" s="1"/>
  <c r="Z17" i="27"/>
  <c r="V11" i="27"/>
  <c r="X11" i="27"/>
  <c r="AC10" i="27"/>
  <c r="Z7" i="27"/>
  <c r="AC7" i="27"/>
  <c r="AD7" i="27" s="1"/>
  <c r="AE7" i="27" s="1"/>
  <c r="AF7" i="27" s="1"/>
  <c r="AH7" i="27" s="1"/>
  <c r="H7" i="28" s="1"/>
  <c r="AC9" i="27"/>
  <c r="AC12" i="27"/>
  <c r="AC6" i="27"/>
  <c r="AC8" i="27"/>
  <c r="Y6" i="28"/>
  <c r="N6" i="28"/>
  <c r="N9" i="28"/>
  <c r="T9" i="28" s="1"/>
  <c r="Y9" i="28"/>
  <c r="Z10" i="27" l="1"/>
  <c r="K30" i="27"/>
  <c r="Z9" i="27"/>
  <c r="Z15" i="27"/>
  <c r="Z14" i="27"/>
  <c r="Z12" i="27"/>
  <c r="Z6" i="27"/>
  <c r="Z8" i="27"/>
  <c r="AH15" i="27"/>
  <c r="H15" i="28" s="1"/>
  <c r="K33" i="27"/>
  <c r="K32" i="27"/>
  <c r="K31" i="27"/>
  <c r="AA4" i="27"/>
  <c r="AB4" i="27"/>
  <c r="AB16" i="27"/>
  <c r="AA16" i="27"/>
  <c r="U17" i="1" s="1"/>
  <c r="AB7" i="27"/>
  <c r="AA7" i="27"/>
  <c r="U8" i="1" s="1"/>
  <c r="AB18" i="27"/>
  <c r="AA18" i="27"/>
  <c r="U19" i="1" s="1"/>
  <c r="AC11" i="27"/>
  <c r="Z11" i="27"/>
  <c r="AB5" i="27"/>
  <c r="AA5" i="27"/>
  <c r="U6" i="1" s="1"/>
  <c r="AA17" i="27"/>
  <c r="U18" i="1" s="1"/>
  <c r="AB17" i="27"/>
  <c r="AA13" i="27"/>
  <c r="U14" i="1" s="1"/>
  <c r="AB13" i="27"/>
  <c r="T6" i="28"/>
  <c r="R10" i="29"/>
  <c r="W10" i="29" s="1"/>
  <c r="R14" i="29"/>
  <c r="W14" i="29" s="1"/>
  <c r="R8" i="29"/>
  <c r="W8" i="29" s="1"/>
  <c r="AB10" i="27" l="1"/>
  <c r="AA10" i="27"/>
  <c r="U11" i="1" s="1"/>
  <c r="AB14" i="27"/>
  <c r="AA14" i="27"/>
  <c r="U15" i="1" s="1"/>
  <c r="AA8" i="27"/>
  <c r="AB8" i="27"/>
  <c r="AB12" i="27"/>
  <c r="AA12" i="27"/>
  <c r="U13" i="1" s="1"/>
  <c r="AB9" i="27"/>
  <c r="AA9" i="27"/>
  <c r="U10" i="1" s="1"/>
  <c r="AA15" i="27"/>
  <c r="U16" i="1" s="1"/>
  <c r="AB15" i="27"/>
  <c r="AA6" i="27"/>
  <c r="U7" i="1" s="1"/>
  <c r="AB6" i="27"/>
  <c r="E30" i="27"/>
  <c r="U5" i="1"/>
  <c r="I29" i="27"/>
  <c r="AB11" i="27"/>
  <c r="AA11" i="27"/>
  <c r="AI18" i="27"/>
  <c r="V19" i="1"/>
  <c r="AI17" i="27"/>
  <c r="V18" i="1"/>
  <c r="AI7" i="27"/>
  <c r="V8" i="1"/>
  <c r="AI16" i="27"/>
  <c r="V17" i="1"/>
  <c r="V6" i="1"/>
  <c r="AI5" i="27"/>
  <c r="AI4" i="27"/>
  <c r="V5" i="1"/>
  <c r="V14" i="1"/>
  <c r="AI13" i="27"/>
  <c r="N8" i="29"/>
  <c r="T8" i="29" s="1"/>
  <c r="Y8" i="29"/>
  <c r="N10" i="29"/>
  <c r="T10" i="29" s="1"/>
  <c r="Y10" i="29"/>
  <c r="Y14" i="29"/>
  <c r="N14" i="29"/>
  <c r="T14" i="29" s="1"/>
  <c r="AI14" i="27" l="1"/>
  <c r="V15" i="1"/>
  <c r="V9" i="1"/>
  <c r="AI8" i="27"/>
  <c r="AI12" i="27"/>
  <c r="V13" i="1"/>
  <c r="AI10" i="27"/>
  <c r="V11" i="1"/>
  <c r="U9" i="1"/>
  <c r="I26" i="27"/>
  <c r="I25" i="27"/>
  <c r="I23" i="27"/>
  <c r="I28" i="27"/>
  <c r="AI9" i="27"/>
  <c r="V10" i="1"/>
  <c r="V16" i="1"/>
  <c r="AI15" i="27"/>
  <c r="V7" i="1"/>
  <c r="AI6" i="27"/>
  <c r="U12" i="1"/>
  <c r="I27" i="27"/>
  <c r="I22" i="27"/>
  <c r="I24" i="27"/>
  <c r="AD8" i="27"/>
  <c r="AE8" i="27" s="1"/>
  <c r="AF8" i="27" s="1"/>
  <c r="AH8" i="27" s="1"/>
  <c r="H8" i="28" s="1"/>
  <c r="AD9" i="27"/>
  <c r="AE9" i="27" s="1"/>
  <c r="AF9" i="27" s="1"/>
  <c r="AH9" i="27" s="1"/>
  <c r="H9" i="28" s="1"/>
  <c r="AD14" i="27"/>
  <c r="AE14" i="27" s="1"/>
  <c r="AF14" i="27" s="1"/>
  <c r="AH14" i="27" s="1"/>
  <c r="H14" i="28" s="1"/>
  <c r="AD6" i="27"/>
  <c r="AE6" i="27" s="1"/>
  <c r="AF6" i="27" s="1"/>
  <c r="AH6" i="27" s="1"/>
  <c r="H6" i="28" s="1"/>
  <c r="AD12" i="27"/>
  <c r="AE12" i="27" s="1"/>
  <c r="AF12" i="27" s="1"/>
  <c r="AH12" i="27" s="1"/>
  <c r="H12" i="28" s="1"/>
  <c r="AD10" i="27"/>
  <c r="AE10" i="27" s="1"/>
  <c r="AF10" i="27" s="1"/>
  <c r="AH10" i="27" s="1"/>
  <c r="H10" i="28" s="1"/>
  <c r="AD15" i="27"/>
  <c r="AE15" i="27" s="1"/>
  <c r="AF15" i="27" s="1"/>
  <c r="AG15" i="27" s="1"/>
  <c r="F15" i="28" s="1"/>
  <c r="AG15" i="28" s="1"/>
  <c r="F15" i="29" s="1"/>
  <c r="AG15" i="29" s="1"/>
  <c r="F15" i="30" s="1"/>
  <c r="AG15" i="30" s="1"/>
  <c r="F15" i="31" s="1"/>
  <c r="AG15" i="31" s="1"/>
  <c r="F15" i="32" s="1"/>
  <c r="AG15" i="32" s="1"/>
  <c r="F15" i="33" s="1"/>
  <c r="AG15" i="33" s="1"/>
  <c r="F15" i="34" s="1"/>
  <c r="AG15" i="34" s="1"/>
  <c r="F15" i="35" s="1"/>
  <c r="AG15" i="35" s="1"/>
  <c r="AD11" i="27"/>
  <c r="AE11" i="27" s="1"/>
  <c r="AF11" i="27" s="1"/>
  <c r="AH11" i="27" s="1"/>
  <c r="H11" i="28" s="1"/>
  <c r="K29" i="27"/>
  <c r="M29" i="27"/>
  <c r="AI11" i="27"/>
  <c r="V12" i="1"/>
  <c r="K26" i="27" l="1"/>
  <c r="M26" i="27"/>
  <c r="K25" i="27"/>
  <c r="M25" i="27"/>
  <c r="K23" i="27"/>
  <c r="M23" i="27"/>
  <c r="K28" i="27"/>
  <c r="M28" i="27"/>
  <c r="K27" i="27"/>
  <c r="M27" i="27"/>
  <c r="K22" i="27" a="1"/>
  <c r="M22" i="27"/>
  <c r="K24" i="27"/>
  <c r="M24" i="27"/>
  <c r="U11" i="28"/>
  <c r="W11" i="28" s="1"/>
  <c r="N11" i="28" l="1"/>
  <c r="Y11" i="28"/>
  <c r="E28" i="28" l="1"/>
  <c r="T11" i="28"/>
  <c r="R9" i="29"/>
  <c r="W9" i="29" s="1"/>
  <c r="R6" i="29"/>
  <c r="W6" i="29" s="1"/>
  <c r="R17" i="29"/>
  <c r="W17" i="29" s="1"/>
  <c r="R10" i="30"/>
  <c r="W10" i="30" s="1"/>
  <c r="R14" i="30"/>
  <c r="W14" i="30" s="1"/>
  <c r="E31" i="28" l="1"/>
  <c r="E32" i="28" s="1"/>
  <c r="G23" i="28"/>
  <c r="I28" i="28"/>
  <c r="M28" i="28" s="1"/>
  <c r="G26" i="28"/>
  <c r="G24" i="28"/>
  <c r="G33" i="28"/>
  <c r="G32" i="28"/>
  <c r="G27" i="28"/>
  <c r="G31" i="28"/>
  <c r="G25" i="28"/>
  <c r="G28" i="28"/>
  <c r="I33" i="28"/>
  <c r="M33" i="28" s="1"/>
  <c r="G30" i="28"/>
  <c r="I27" i="28"/>
  <c r="M27" i="28" s="1"/>
  <c r="E29" i="28"/>
  <c r="I31" i="28"/>
  <c r="M31" i="28" s="1"/>
  <c r="I32" i="28"/>
  <c r="M32" i="28" s="1"/>
  <c r="I29" i="28"/>
  <c r="M29" i="28" s="1"/>
  <c r="I30" i="28"/>
  <c r="M30" i="28" s="1"/>
  <c r="G22" i="28"/>
  <c r="G29" i="28"/>
  <c r="I26" i="28"/>
  <c r="M26" i="28" s="1"/>
  <c r="Y17" i="29"/>
  <c r="N17" i="29"/>
  <c r="T17" i="29" s="1"/>
  <c r="N6" i="29"/>
  <c r="Y6" i="29"/>
  <c r="Y9" i="29"/>
  <c r="N9" i="29"/>
  <c r="T9" i="29" s="1"/>
  <c r="Y10" i="30"/>
  <c r="N10" i="30"/>
  <c r="T10" i="30" s="1"/>
  <c r="N14" i="30"/>
  <c r="T14" i="30" s="1"/>
  <c r="Y14" i="30"/>
  <c r="I7" i="28" l="1"/>
  <c r="X7" i="28" s="1"/>
  <c r="I10" i="28"/>
  <c r="X10" i="28" s="1"/>
  <c r="I12" i="28"/>
  <c r="X12" i="28" s="1"/>
  <c r="G14" i="28"/>
  <c r="E33" i="28"/>
  <c r="I15" i="28"/>
  <c r="X15" i="28" s="1"/>
  <c r="I17" i="28"/>
  <c r="X17" i="28" s="1"/>
  <c r="I6" i="28"/>
  <c r="X6" i="28" s="1"/>
  <c r="G17" i="28"/>
  <c r="G6" i="28"/>
  <c r="G8" i="28"/>
  <c r="G7" i="28"/>
  <c r="I18" i="28"/>
  <c r="X18" i="28" s="1"/>
  <c r="G15" i="28"/>
  <c r="G16" i="28"/>
  <c r="G13" i="28"/>
  <c r="I14" i="28"/>
  <c r="X14" i="28" s="1"/>
  <c r="G12" i="28"/>
  <c r="I13" i="28"/>
  <c r="X13" i="28" s="1"/>
  <c r="I9" i="28"/>
  <c r="X9" i="28" s="1"/>
  <c r="I5" i="28"/>
  <c r="X5" i="28" s="1"/>
  <c r="G18" i="28"/>
  <c r="G10" i="28"/>
  <c r="I11" i="28"/>
  <c r="I16" i="28"/>
  <c r="X16" i="28" s="1"/>
  <c r="I8" i="28"/>
  <c r="X8" i="28" s="1"/>
  <c r="G11" i="28"/>
  <c r="G4" i="28"/>
  <c r="G5" i="28"/>
  <c r="G9" i="28"/>
  <c r="I4" i="28"/>
  <c r="X4" i="28" s="1"/>
  <c r="T6" i="29"/>
  <c r="Z7" i="28" l="1"/>
  <c r="AC7" i="28"/>
  <c r="AD7" i="28" s="1"/>
  <c r="AE7" i="28" s="1"/>
  <c r="AF7" i="28" s="1"/>
  <c r="AH7" i="28" s="1"/>
  <c r="H7" i="29" s="1"/>
  <c r="AC10" i="28"/>
  <c r="AC12" i="28"/>
  <c r="AD12" i="28" s="1"/>
  <c r="AE12" i="28" s="1"/>
  <c r="AF12" i="28" s="1"/>
  <c r="AH12" i="28" s="1"/>
  <c r="H12" i="29" s="1"/>
  <c r="Z12" i="28"/>
  <c r="Z15" i="28"/>
  <c r="AC15" i="28"/>
  <c r="AD15" i="28" s="1"/>
  <c r="AE15" i="28" s="1"/>
  <c r="AF15" i="28" s="1"/>
  <c r="AH15" i="28" s="1"/>
  <c r="H15" i="29" s="1"/>
  <c r="Z17" i="28"/>
  <c r="AC17" i="28"/>
  <c r="AD17" i="28" s="1"/>
  <c r="AE17" i="28" s="1"/>
  <c r="AF17" i="28" s="1"/>
  <c r="AH17" i="28" s="1"/>
  <c r="H17" i="29" s="1"/>
  <c r="AC6" i="28"/>
  <c r="Z18" i="28"/>
  <c r="AC18" i="28"/>
  <c r="AD18" i="28" s="1"/>
  <c r="AE18" i="28" s="1"/>
  <c r="AF18" i="28" s="1"/>
  <c r="AH18" i="28" s="1"/>
  <c r="H18" i="29" s="1"/>
  <c r="Z13" i="28"/>
  <c r="AC13" i="28"/>
  <c r="AD13" i="28" s="1"/>
  <c r="AE13" i="28" s="1"/>
  <c r="AF13" i="28" s="1"/>
  <c r="AH13" i="28" s="1"/>
  <c r="H13" i="29" s="1"/>
  <c r="AC8" i="28"/>
  <c r="AD8" i="28" s="1"/>
  <c r="AE8" i="28" s="1"/>
  <c r="AF8" i="28" s="1"/>
  <c r="AH8" i="28" s="1"/>
  <c r="H8" i="29" s="1"/>
  <c r="Z8" i="28"/>
  <c r="AC14" i="28"/>
  <c r="AC9" i="28"/>
  <c r="AC5" i="28"/>
  <c r="AD5" i="28" s="1"/>
  <c r="AE5" i="28" s="1"/>
  <c r="AF5" i="28" s="1"/>
  <c r="AH5" i="28" s="1"/>
  <c r="H5" i="29" s="1"/>
  <c r="Z5" i="28"/>
  <c r="X11" i="28"/>
  <c r="K33" i="28" s="1"/>
  <c r="V11" i="28"/>
  <c r="AC16" i="28"/>
  <c r="AD16" i="28" s="1"/>
  <c r="AE16" i="28" s="1"/>
  <c r="AF16" i="28" s="1"/>
  <c r="AH16" i="28" s="1"/>
  <c r="H16" i="29" s="1"/>
  <c r="Z16" i="28"/>
  <c r="AC4" i="28"/>
  <c r="AD4" i="28" s="1"/>
  <c r="AE4" i="28" s="1"/>
  <c r="AF4" i="28" s="1"/>
  <c r="AH4" i="28" s="1"/>
  <c r="H4" i="29" s="1"/>
  <c r="Z4" i="28"/>
  <c r="AB4" i="28"/>
  <c r="AA17" i="28" l="1"/>
  <c r="X18" i="1" s="1"/>
  <c r="AB17" i="28"/>
  <c r="AB12" i="28"/>
  <c r="AA12" i="28"/>
  <c r="X13" i="1" s="1"/>
  <c r="AB15" i="28"/>
  <c r="AA15" i="28"/>
  <c r="X16" i="1" s="1"/>
  <c r="AA18" i="28"/>
  <c r="X19" i="1" s="1"/>
  <c r="AB18" i="28"/>
  <c r="Z10" i="28"/>
  <c r="Z14" i="28"/>
  <c r="Z9" i="28"/>
  <c r="Z6" i="28"/>
  <c r="K27" i="28"/>
  <c r="K29" i="28"/>
  <c r="K30" i="28"/>
  <c r="K31" i="28"/>
  <c r="K26" i="28"/>
  <c r="AA4" i="28"/>
  <c r="E30" i="28"/>
  <c r="AA13" i="28"/>
  <c r="X14" i="1" s="1"/>
  <c r="AB13" i="28"/>
  <c r="AB8" i="28"/>
  <c r="AA8" i="28"/>
  <c r="X9" i="1" s="1"/>
  <c r="AC11" i="28"/>
  <c r="AD11" i="28" s="1"/>
  <c r="AE11" i="28" s="1"/>
  <c r="AF11" i="28" s="1"/>
  <c r="AH11" i="28" s="1"/>
  <c r="H11" i="29" s="1"/>
  <c r="K32" i="28"/>
  <c r="AB7" i="28"/>
  <c r="AA7" i="28"/>
  <c r="X8" i="1" s="1"/>
  <c r="Y13" i="1"/>
  <c r="AI12" i="28"/>
  <c r="AA5" i="28"/>
  <c r="AB5" i="28"/>
  <c r="Z11" i="28"/>
  <c r="K28" i="28"/>
  <c r="AB16" i="28"/>
  <c r="AA16" i="28"/>
  <c r="X17" i="1" s="1"/>
  <c r="AI4" i="28"/>
  <c r="Y5" i="1"/>
  <c r="AI17" i="28" l="1"/>
  <c r="Y18" i="1"/>
  <c r="Y16" i="1"/>
  <c r="AI15" i="28"/>
  <c r="AI18" i="28"/>
  <c r="Y19" i="1"/>
  <c r="AB10" i="28"/>
  <c r="AA10" i="28"/>
  <c r="X11" i="1" s="1"/>
  <c r="AA14" i="28"/>
  <c r="X15" i="1" s="1"/>
  <c r="AB14" i="28"/>
  <c r="AD10" i="28"/>
  <c r="AE10" i="28" s="1"/>
  <c r="AF10" i="28" s="1"/>
  <c r="AH10" i="28" s="1"/>
  <c r="H10" i="29" s="1"/>
  <c r="AD14" i="28"/>
  <c r="AE14" i="28" s="1"/>
  <c r="AF14" i="28" s="1"/>
  <c r="AH14" i="28" s="1"/>
  <c r="H14" i="29" s="1"/>
  <c r="AA9" i="28"/>
  <c r="X10" i="1" s="1"/>
  <c r="AB9" i="28"/>
  <c r="AB6" i="28"/>
  <c r="AA6" i="28"/>
  <c r="X5" i="1"/>
  <c r="AD9" i="28"/>
  <c r="AE9" i="28" s="1"/>
  <c r="AF9" i="28" s="1"/>
  <c r="AH9" i="28" s="1"/>
  <c r="H9" i="29" s="1"/>
  <c r="AD6" i="28"/>
  <c r="AE6" i="28" s="1"/>
  <c r="AF6" i="28" s="1"/>
  <c r="AH6" i="28" s="1"/>
  <c r="H6" i="29" s="1"/>
  <c r="Y14" i="1"/>
  <c r="AI13" i="28"/>
  <c r="AI8" i="28"/>
  <c r="Y9" i="1"/>
  <c r="AI7" i="28"/>
  <c r="Y8" i="1"/>
  <c r="X6" i="1"/>
  <c r="AH11" i="29"/>
  <c r="H11" i="30" s="1"/>
  <c r="U11" i="29"/>
  <c r="W11" i="29" s="1"/>
  <c r="AB11" i="28"/>
  <c r="AA11" i="28"/>
  <c r="X12" i="1" s="1"/>
  <c r="Y6" i="1"/>
  <c r="AI5" i="28"/>
  <c r="AI16" i="28"/>
  <c r="Y17" i="1"/>
  <c r="R14" i="31"/>
  <c r="W14" i="31" s="1"/>
  <c r="R8" i="31"/>
  <c r="W8" i="31" s="1"/>
  <c r="R10" i="31"/>
  <c r="W10" i="31" s="1"/>
  <c r="Y11" i="1" l="1"/>
  <c r="AI10" i="28"/>
  <c r="Y15" i="1"/>
  <c r="AI14" i="28"/>
  <c r="I24" i="28"/>
  <c r="I25" i="28"/>
  <c r="AI9" i="28"/>
  <c r="Y10" i="1"/>
  <c r="Y7" i="1"/>
  <c r="AI6" i="28"/>
  <c r="X7" i="1"/>
  <c r="I23" i="28"/>
  <c r="I22" i="28"/>
  <c r="U11" i="30"/>
  <c r="W11" i="30" s="1"/>
  <c r="N11" i="30" s="1"/>
  <c r="T11" i="30" s="1"/>
  <c r="AH11" i="30"/>
  <c r="H11" i="31" s="1"/>
  <c r="Y11" i="29"/>
  <c r="N11" i="29"/>
  <c r="Y12" i="1"/>
  <c r="AI11" i="28"/>
  <c r="Y8" i="31"/>
  <c r="N8" i="31"/>
  <c r="Y10" i="31"/>
  <c r="N10" i="31"/>
  <c r="T10" i="31" s="1"/>
  <c r="Y14" i="31"/>
  <c r="N14" i="31"/>
  <c r="T14" i="31" s="1"/>
  <c r="M24" i="28" l="1"/>
  <c r="K24" i="28"/>
  <c r="M25" i="28"/>
  <c r="K25" i="28"/>
  <c r="M22" i="28"/>
  <c r="K22" i="28" a="1"/>
  <c r="M23" i="28"/>
  <c r="K23" i="28"/>
  <c r="U11" i="31"/>
  <c r="W11" i="31" s="1"/>
  <c r="N11" i="31" s="1"/>
  <c r="T11" i="31" s="1"/>
  <c r="AH11" i="31"/>
  <c r="H11" i="32" s="1"/>
  <c r="E28" i="29"/>
  <c r="T11" i="29"/>
  <c r="R8" i="30"/>
  <c r="W8" i="30" s="1"/>
  <c r="R6" i="30"/>
  <c r="W6" i="30" s="1"/>
  <c r="R9" i="30"/>
  <c r="W9" i="30" s="1"/>
  <c r="R17" i="30"/>
  <c r="W17" i="30" s="1"/>
  <c r="T8" i="31"/>
  <c r="AH11" i="32" l="1"/>
  <c r="H11" i="33" s="1"/>
  <c r="U11" i="32"/>
  <c r="W11" i="32" s="1"/>
  <c r="N11" i="32" s="1"/>
  <c r="T11" i="32" s="1"/>
  <c r="G22" i="29"/>
  <c r="I31" i="29"/>
  <c r="G28" i="29"/>
  <c r="I28" i="29"/>
  <c r="I26" i="29"/>
  <c r="G29" i="29"/>
  <c r="I32" i="29"/>
  <c r="I30" i="29"/>
  <c r="I25" i="29"/>
  <c r="G30" i="29"/>
  <c r="G24" i="29"/>
  <c r="I29" i="29"/>
  <c r="G32" i="29"/>
  <c r="G33" i="29"/>
  <c r="I24" i="29"/>
  <c r="G27" i="29"/>
  <c r="E29" i="29"/>
  <c r="E30" i="29" s="1"/>
  <c r="G31" i="29"/>
  <c r="G25" i="29"/>
  <c r="I23" i="29"/>
  <c r="G23" i="29"/>
  <c r="I27" i="29"/>
  <c r="I33" i="29"/>
  <c r="G26" i="29"/>
  <c r="E31" i="29"/>
  <c r="E32" i="29" s="1"/>
  <c r="Y11" i="30"/>
  <c r="N6" i="30"/>
  <c r="Y6" i="30"/>
  <c r="Y17" i="30"/>
  <c r="N17" i="30"/>
  <c r="T17" i="30" s="1"/>
  <c r="N9" i="30"/>
  <c r="T9" i="30" s="1"/>
  <c r="Y9" i="30"/>
  <c r="N8" i="30"/>
  <c r="T8" i="30" s="1"/>
  <c r="Y8" i="30"/>
  <c r="U11" i="33" l="1"/>
  <c r="W11" i="33" s="1"/>
  <c r="N11" i="33" s="1"/>
  <c r="T11" i="33" s="1"/>
  <c r="AH11" i="33"/>
  <c r="H11" i="34" s="1"/>
  <c r="M31" i="29"/>
  <c r="M28" i="29"/>
  <c r="M26" i="29"/>
  <c r="M32" i="29"/>
  <c r="M30" i="29"/>
  <c r="M25" i="29"/>
  <c r="M29" i="29"/>
  <c r="M24" i="29"/>
  <c r="M23" i="29"/>
  <c r="M27" i="29"/>
  <c r="M33" i="29"/>
  <c r="I8" i="29"/>
  <c r="X8" i="29" s="1"/>
  <c r="G12" i="29"/>
  <c r="I5" i="29"/>
  <c r="X5" i="29" s="1"/>
  <c r="G17" i="29"/>
  <c r="I4" i="29"/>
  <c r="X4" i="29" s="1"/>
  <c r="G5" i="29"/>
  <c r="I13" i="29"/>
  <c r="X13" i="29" s="1"/>
  <c r="G4" i="29"/>
  <c r="G6" i="29"/>
  <c r="I7" i="29"/>
  <c r="X7" i="29" s="1"/>
  <c r="I17" i="29"/>
  <c r="X17" i="29" s="1"/>
  <c r="G14" i="29"/>
  <c r="G8" i="29"/>
  <c r="I18" i="29"/>
  <c r="X18" i="29" s="1"/>
  <c r="I9" i="29"/>
  <c r="X9" i="29" s="1"/>
  <c r="G7" i="29"/>
  <c r="G16" i="29"/>
  <c r="G18" i="29"/>
  <c r="G13" i="29"/>
  <c r="I14" i="29"/>
  <c r="X14" i="29" s="1"/>
  <c r="G9" i="29"/>
  <c r="I12" i="29"/>
  <c r="X12" i="29" s="1"/>
  <c r="I16" i="29"/>
  <c r="X16" i="29" s="1"/>
  <c r="G10" i="29"/>
  <c r="G11" i="29"/>
  <c r="I11" i="29"/>
  <c r="E33" i="29"/>
  <c r="I15" i="29"/>
  <c r="X15" i="29" s="1"/>
  <c r="I10" i="29"/>
  <c r="X10" i="29" s="1"/>
  <c r="G15" i="29"/>
  <c r="I6" i="29"/>
  <c r="X6" i="29" s="1"/>
  <c r="E28" i="30"/>
  <c r="T6" i="30"/>
  <c r="U11" i="34" l="1"/>
  <c r="W11" i="34" s="1"/>
  <c r="N11" i="34" s="1"/>
  <c r="T11" i="34" s="1"/>
  <c r="AH11" i="34"/>
  <c r="H11" i="35" s="1"/>
  <c r="Z8" i="29"/>
  <c r="AC8" i="29"/>
  <c r="AD8" i="29" s="1"/>
  <c r="AE8" i="29" s="1"/>
  <c r="AF8" i="29" s="1"/>
  <c r="AH8" i="29" s="1"/>
  <c r="H8" i="30" s="1"/>
  <c r="Z5" i="29"/>
  <c r="AC5" i="29"/>
  <c r="AD5" i="29" s="1"/>
  <c r="AE5" i="29" s="1"/>
  <c r="AF5" i="29" s="1"/>
  <c r="AH5" i="29" s="1"/>
  <c r="H5" i="30" s="1"/>
  <c r="Z4" i="29"/>
  <c r="AC4" i="29"/>
  <c r="AD4" i="29" s="1"/>
  <c r="AE4" i="29" s="1"/>
  <c r="AF4" i="29" s="1"/>
  <c r="AH4" i="29" s="1"/>
  <c r="H4" i="30" s="1"/>
  <c r="Z13" i="29"/>
  <c r="AC13" i="29"/>
  <c r="AD13" i="29" s="1"/>
  <c r="AE13" i="29" s="1"/>
  <c r="AF13" i="29" s="1"/>
  <c r="AH13" i="29" s="1"/>
  <c r="H13" i="30" s="1"/>
  <c r="Z7" i="29"/>
  <c r="AC7" i="29"/>
  <c r="AD7" i="29" s="1"/>
  <c r="AE7" i="29" s="1"/>
  <c r="AF7" i="29" s="1"/>
  <c r="AH7" i="29" s="1"/>
  <c r="H7" i="30" s="1"/>
  <c r="AC17" i="29"/>
  <c r="AD17" i="29" s="1"/>
  <c r="AE17" i="29" s="1"/>
  <c r="AF17" i="29" s="1"/>
  <c r="AH17" i="29" s="1"/>
  <c r="H17" i="30" s="1"/>
  <c r="Z17" i="29"/>
  <c r="Z18" i="29"/>
  <c r="AC18" i="29"/>
  <c r="AD18" i="29" s="1"/>
  <c r="AE18" i="29" s="1"/>
  <c r="AF18" i="29" s="1"/>
  <c r="AH18" i="29" s="1"/>
  <c r="H18" i="30" s="1"/>
  <c r="AC9" i="29"/>
  <c r="AD9" i="29" s="1"/>
  <c r="AE9" i="29" s="1"/>
  <c r="AF9" i="29" s="1"/>
  <c r="AH9" i="29" s="1"/>
  <c r="H9" i="30" s="1"/>
  <c r="Z9" i="29"/>
  <c r="AC14" i="29"/>
  <c r="AD14" i="29" s="1"/>
  <c r="AE14" i="29" s="1"/>
  <c r="AF14" i="29" s="1"/>
  <c r="AH14" i="29" s="1"/>
  <c r="H14" i="30" s="1"/>
  <c r="Z14" i="29"/>
  <c r="Z12" i="29"/>
  <c r="AC12" i="29"/>
  <c r="AD12" i="29" s="1"/>
  <c r="AE12" i="29" s="1"/>
  <c r="AF12" i="29" s="1"/>
  <c r="AH12" i="29" s="1"/>
  <c r="H12" i="30" s="1"/>
  <c r="Z16" i="29"/>
  <c r="AC16" i="29"/>
  <c r="AD16" i="29" s="1"/>
  <c r="AE16" i="29" s="1"/>
  <c r="AF16" i="29" s="1"/>
  <c r="AH16" i="29" s="1"/>
  <c r="H16" i="30" s="1"/>
  <c r="V11" i="29"/>
  <c r="X11" i="29"/>
  <c r="AC15" i="29"/>
  <c r="AD15" i="29" s="1"/>
  <c r="AE15" i="29" s="1"/>
  <c r="AF15" i="29" s="1"/>
  <c r="AH15" i="29" s="1"/>
  <c r="H15" i="30" s="1"/>
  <c r="Z15" i="29"/>
  <c r="AC10" i="29"/>
  <c r="AD10" i="29" s="1"/>
  <c r="AE10" i="29" s="1"/>
  <c r="AF10" i="29" s="1"/>
  <c r="AH10" i="29" s="1"/>
  <c r="H10" i="30" s="1"/>
  <c r="Z10" i="29"/>
  <c r="AC6" i="29"/>
  <c r="AD6" i="29" s="1"/>
  <c r="AE6" i="29" s="1"/>
  <c r="AF6" i="29" s="1"/>
  <c r="AH6" i="29" s="1"/>
  <c r="H6" i="30" s="1"/>
  <c r="Z6" i="29"/>
  <c r="E31" i="30"/>
  <c r="E32" i="30" s="1"/>
  <c r="G29" i="30"/>
  <c r="G31" i="30"/>
  <c r="I28" i="30"/>
  <c r="I29" i="30"/>
  <c r="G33" i="30"/>
  <c r="I30" i="30"/>
  <c r="G22" i="30"/>
  <c r="G24" i="30"/>
  <c r="G32" i="30"/>
  <c r="I26" i="30"/>
  <c r="E29" i="30"/>
  <c r="E30" i="30" s="1"/>
  <c r="G26" i="30"/>
  <c r="I33" i="30"/>
  <c r="G27" i="30"/>
  <c r="I32" i="30"/>
  <c r="G30" i="30"/>
  <c r="I31" i="30"/>
  <c r="I25" i="30"/>
  <c r="I23" i="30"/>
  <c r="I24" i="30"/>
  <c r="G28" i="30"/>
  <c r="G23" i="30"/>
  <c r="G25" i="30"/>
  <c r="I27" i="30"/>
  <c r="R14" i="32"/>
  <c r="W14" i="32" s="1"/>
  <c r="R10" i="32"/>
  <c r="W10" i="32" s="1"/>
  <c r="AH11" i="35" l="1"/>
  <c r="U11" i="35"/>
  <c r="W11" i="35" s="1"/>
  <c r="N11" i="35" s="1"/>
  <c r="T11" i="35" s="1"/>
  <c r="AA8" i="29"/>
  <c r="AA9" i="1" s="1"/>
  <c r="AB8" i="29"/>
  <c r="AB5" i="29"/>
  <c r="AA5" i="29"/>
  <c r="AA6" i="1" s="1"/>
  <c r="AB4" i="29"/>
  <c r="AA4" i="29"/>
  <c r="AB13" i="29"/>
  <c r="AA13" i="29"/>
  <c r="AA14" i="1" s="1"/>
  <c r="AB7" i="29"/>
  <c r="AA7" i="29"/>
  <c r="AA8" i="1" s="1"/>
  <c r="AB17" i="29"/>
  <c r="AA17" i="29"/>
  <c r="AA18" i="1" s="1"/>
  <c r="AA18" i="29"/>
  <c r="AA19" i="1" s="1"/>
  <c r="AB18" i="29"/>
  <c r="AB9" i="29"/>
  <c r="AA9" i="29"/>
  <c r="AA10" i="1" s="1"/>
  <c r="AA14" i="29"/>
  <c r="AA15" i="1" s="1"/>
  <c r="AB14" i="29"/>
  <c r="AB12" i="29"/>
  <c r="AA12" i="29"/>
  <c r="AA13" i="1" s="1"/>
  <c r="AB16" i="29"/>
  <c r="AA16" i="29"/>
  <c r="AA17" i="1" s="1"/>
  <c r="K25" i="29"/>
  <c r="K28" i="29"/>
  <c r="K29" i="29"/>
  <c r="K30" i="29"/>
  <c r="K32" i="29"/>
  <c r="K26" i="29"/>
  <c r="K31" i="29"/>
  <c r="K33" i="29"/>
  <c r="K27" i="29"/>
  <c r="K23" i="29"/>
  <c r="K24" i="29"/>
  <c r="AC11" i="29"/>
  <c r="AD11" i="29" s="1"/>
  <c r="AE11" i="29" s="1"/>
  <c r="AF11" i="29" s="1"/>
  <c r="Z11" i="29"/>
  <c r="AA15" i="29"/>
  <c r="AA16" i="1" s="1"/>
  <c r="AB15" i="29"/>
  <c r="AA10" i="29"/>
  <c r="AA11" i="1" s="1"/>
  <c r="AB10" i="29"/>
  <c r="AB6" i="29"/>
  <c r="AA6" i="29"/>
  <c r="AA7" i="1" s="1"/>
  <c r="G17" i="30"/>
  <c r="G15" i="30"/>
  <c r="I4" i="30"/>
  <c r="X4" i="30" s="1"/>
  <c r="I8" i="30"/>
  <c r="X8" i="30" s="1"/>
  <c r="I10" i="30"/>
  <c r="X10" i="30" s="1"/>
  <c r="G5" i="30"/>
  <c r="G13" i="30"/>
  <c r="I13" i="30"/>
  <c r="X13" i="30" s="1"/>
  <c r="I17" i="30"/>
  <c r="X17" i="30" s="1"/>
  <c r="I5" i="30"/>
  <c r="X5" i="30" s="1"/>
  <c r="G4" i="30"/>
  <c r="G8" i="30"/>
  <c r="I7" i="30"/>
  <c r="X7" i="30" s="1"/>
  <c r="G7" i="30"/>
  <c r="G14" i="30"/>
  <c r="I14" i="30"/>
  <c r="X14" i="30" s="1"/>
  <c r="I16" i="30"/>
  <c r="X16" i="30" s="1"/>
  <c r="I12" i="30"/>
  <c r="X12" i="30" s="1"/>
  <c r="G16" i="30"/>
  <c r="E33" i="30"/>
  <c r="G12" i="30"/>
  <c r="I15" i="30"/>
  <c r="X15" i="30" s="1"/>
  <c r="I6" i="30"/>
  <c r="X6" i="30" s="1"/>
  <c r="I9" i="30"/>
  <c r="X9" i="30" s="1"/>
  <c r="G9" i="30"/>
  <c r="G6" i="30"/>
  <c r="G18" i="30"/>
  <c r="I18" i="30"/>
  <c r="X18" i="30" s="1"/>
  <c r="AC18" i="30" s="1"/>
  <c r="AD18" i="30" s="1"/>
  <c r="AE18" i="30" s="1"/>
  <c r="AF18" i="30" s="1"/>
  <c r="AH18" i="30" s="1"/>
  <c r="G10" i="30"/>
  <c r="I11" i="30"/>
  <c r="G11" i="30"/>
  <c r="M32" i="30"/>
  <c r="M33" i="30"/>
  <c r="M26" i="30"/>
  <c r="M27" i="30"/>
  <c r="M30" i="30"/>
  <c r="M23" i="30"/>
  <c r="M29" i="30"/>
  <c r="M24" i="30"/>
  <c r="M25" i="30"/>
  <c r="M28" i="30"/>
  <c r="M31" i="30"/>
  <c r="N10" i="32"/>
  <c r="T10" i="32" s="1"/>
  <c r="Y10" i="32"/>
  <c r="N14" i="32"/>
  <c r="T14" i="32" s="1"/>
  <c r="Y14" i="32"/>
  <c r="AA5" i="1" l="1"/>
  <c r="AI8" i="29"/>
  <c r="AB9" i="1"/>
  <c r="AB6" i="1"/>
  <c r="AI5" i="29"/>
  <c r="AB5" i="1"/>
  <c r="AI4" i="29"/>
  <c r="AB14" i="1"/>
  <c r="AI13" i="29"/>
  <c r="AI7" i="29"/>
  <c r="AB8" i="1"/>
  <c r="AB18" i="1"/>
  <c r="AI17" i="29"/>
  <c r="AB19" i="1"/>
  <c r="AI18" i="29"/>
  <c r="AI9" i="29"/>
  <c r="AB10" i="1"/>
  <c r="AB15" i="1"/>
  <c r="AI14" i="29"/>
  <c r="AI12" i="29"/>
  <c r="AB13" i="1"/>
  <c r="AI16" i="29"/>
  <c r="AB17" i="1"/>
  <c r="AA11" i="29"/>
  <c r="AB11" i="29"/>
  <c r="AB16" i="1"/>
  <c r="AI15" i="29"/>
  <c r="AB11" i="1"/>
  <c r="AI10" i="29"/>
  <c r="AB7" i="1"/>
  <c r="AI6" i="29"/>
  <c r="AC16" i="30"/>
  <c r="AD16" i="30" s="1"/>
  <c r="AE16" i="30" s="1"/>
  <c r="AF16" i="30" s="1"/>
  <c r="AH16" i="30" s="1"/>
  <c r="H16" i="31" s="1"/>
  <c r="Z16" i="30"/>
  <c r="AC15" i="30"/>
  <c r="AD15" i="30" s="1"/>
  <c r="AE15" i="30" s="1"/>
  <c r="AF15" i="30" s="1"/>
  <c r="AH15" i="30" s="1"/>
  <c r="H15" i="31" s="1"/>
  <c r="Z15" i="30"/>
  <c r="Z4" i="30"/>
  <c r="AC4" i="30"/>
  <c r="AD4" i="30" s="1"/>
  <c r="AE4" i="30" s="1"/>
  <c r="AF4" i="30" s="1"/>
  <c r="AH4" i="30" s="1"/>
  <c r="H4" i="31" s="1"/>
  <c r="AC7" i="30"/>
  <c r="AD7" i="30" s="1"/>
  <c r="AE7" i="30" s="1"/>
  <c r="AF7" i="30" s="1"/>
  <c r="AH7" i="30" s="1"/>
  <c r="H7" i="31" s="1"/>
  <c r="Z7" i="30"/>
  <c r="Z12" i="30"/>
  <c r="AC12" i="30"/>
  <c r="AD12" i="30" s="1"/>
  <c r="AE12" i="30" s="1"/>
  <c r="AF12" i="30" s="1"/>
  <c r="AH12" i="30" s="1"/>
  <c r="H12" i="31" s="1"/>
  <c r="AC14" i="30"/>
  <c r="AD14" i="30" s="1"/>
  <c r="AE14" i="30" s="1"/>
  <c r="AF14" i="30" s="1"/>
  <c r="AH14" i="30" s="1"/>
  <c r="H14" i="31" s="1"/>
  <c r="Z14" i="30"/>
  <c r="AC6" i="30"/>
  <c r="AD6" i="30" s="1"/>
  <c r="AE6" i="30" s="1"/>
  <c r="AF6" i="30" s="1"/>
  <c r="AH6" i="30" s="1"/>
  <c r="H6" i="31" s="1"/>
  <c r="Z6" i="30"/>
  <c r="AC9" i="30"/>
  <c r="AD9" i="30" s="1"/>
  <c r="AE9" i="30" s="1"/>
  <c r="AF9" i="30" s="1"/>
  <c r="AH9" i="30" s="1"/>
  <c r="H9" i="31" s="1"/>
  <c r="Z9" i="30"/>
  <c r="AC8" i="30"/>
  <c r="AD8" i="30" s="1"/>
  <c r="AE8" i="30" s="1"/>
  <c r="AF8" i="30" s="1"/>
  <c r="AH8" i="30" s="1"/>
  <c r="H8" i="31" s="1"/>
  <c r="Z8" i="30"/>
  <c r="AC10" i="30"/>
  <c r="AD10" i="30" s="1"/>
  <c r="AE10" i="30" s="1"/>
  <c r="AF10" i="30" s="1"/>
  <c r="AH10" i="30" s="1"/>
  <c r="H10" i="31" s="1"/>
  <c r="Z10" i="30"/>
  <c r="Z13" i="30"/>
  <c r="AC13" i="30"/>
  <c r="AD13" i="30" s="1"/>
  <c r="AE13" i="30" s="1"/>
  <c r="AF13" i="30" s="1"/>
  <c r="AH13" i="30" s="1"/>
  <c r="H13" i="31" s="1"/>
  <c r="AC17" i="30"/>
  <c r="AD17" i="30" s="1"/>
  <c r="AE17" i="30" s="1"/>
  <c r="AF17" i="30" s="1"/>
  <c r="AH17" i="30" s="1"/>
  <c r="H17" i="31" s="1"/>
  <c r="Z17" i="30"/>
  <c r="Z5" i="30"/>
  <c r="AC5" i="30"/>
  <c r="AD5" i="30" s="1"/>
  <c r="AE5" i="30" s="1"/>
  <c r="AF5" i="30" s="1"/>
  <c r="AH5" i="30" s="1"/>
  <c r="H5" i="31" s="1"/>
  <c r="Z18" i="30"/>
  <c r="X11" i="30"/>
  <c r="V11" i="30"/>
  <c r="H18" i="31"/>
  <c r="R8" i="33"/>
  <c r="W8" i="33" s="1"/>
  <c r="R10" i="33"/>
  <c r="W10" i="33" s="1"/>
  <c r="R14" i="33"/>
  <c r="W14" i="33" s="1"/>
  <c r="AA12" i="1" l="1"/>
  <c r="I22" i="29"/>
  <c r="AB12" i="1"/>
  <c r="AI11" i="29"/>
  <c r="AA16" i="30"/>
  <c r="AD17" i="1" s="1"/>
  <c r="AB16" i="30"/>
  <c r="AA10" i="30"/>
  <c r="AD11" i="1" s="1"/>
  <c r="AB10" i="30"/>
  <c r="AA9" i="30"/>
  <c r="AD10" i="1" s="1"/>
  <c r="AB9" i="30"/>
  <c r="AA8" i="30"/>
  <c r="AD9" i="1" s="1"/>
  <c r="AB8" i="30"/>
  <c r="AB13" i="30"/>
  <c r="AA13" i="30"/>
  <c r="AD14" i="1" s="1"/>
  <c r="AA5" i="30"/>
  <c r="AD6" i="1" s="1"/>
  <c r="AB5" i="30"/>
  <c r="AB18" i="30"/>
  <c r="AA18" i="30"/>
  <c r="AD19" i="1" s="1"/>
  <c r="AA15" i="30"/>
  <c r="AD16" i="1" s="1"/>
  <c r="AB15" i="30"/>
  <c r="AB17" i="30"/>
  <c r="AA17" i="30"/>
  <c r="AD18" i="1" s="1"/>
  <c r="AA4" i="30"/>
  <c r="AD5" i="1" s="1"/>
  <c r="AB4" i="30"/>
  <c r="AA7" i="30"/>
  <c r="AD8" i="1" s="1"/>
  <c r="AB7" i="30"/>
  <c r="AB12" i="30"/>
  <c r="AA12" i="30"/>
  <c r="AD13" i="1" s="1"/>
  <c r="AB14" i="30"/>
  <c r="AA14" i="30"/>
  <c r="AD15" i="1" s="1"/>
  <c r="AA6" i="30"/>
  <c r="AD7" i="1" s="1"/>
  <c r="AB6" i="30"/>
  <c r="AC11" i="30"/>
  <c r="AD11" i="30" s="1"/>
  <c r="AE11" i="30" s="1"/>
  <c r="AF11" i="30" s="1"/>
  <c r="Z11" i="30"/>
  <c r="K28" i="30"/>
  <c r="K29" i="30"/>
  <c r="K26" i="30"/>
  <c r="K23" i="30"/>
  <c r="K31" i="30"/>
  <c r="K32" i="30"/>
  <c r="K30" i="30"/>
  <c r="K27" i="30"/>
  <c r="K24" i="30"/>
  <c r="K33" i="30"/>
  <c r="K25" i="30"/>
  <c r="R9" i="31"/>
  <c r="W9" i="31" s="1"/>
  <c r="R17" i="31"/>
  <c r="W17" i="31" s="1"/>
  <c r="N14" i="33"/>
  <c r="T14" i="33" s="1"/>
  <c r="Y14" i="33"/>
  <c r="Y10" i="33"/>
  <c r="N10" i="33"/>
  <c r="T10" i="33" s="1"/>
  <c r="N8" i="33"/>
  <c r="Y8" i="33"/>
  <c r="M22" i="29" l="1"/>
  <c r="K22" i="29" a="1"/>
  <c r="AE17" i="1"/>
  <c r="AI16" i="30"/>
  <c r="AE6" i="1"/>
  <c r="AI5" i="30"/>
  <c r="AE11" i="1"/>
  <c r="AI10" i="30"/>
  <c r="AI8" i="30"/>
  <c r="AE9" i="1"/>
  <c r="AE10" i="1"/>
  <c r="AI9" i="30"/>
  <c r="AI13" i="30"/>
  <c r="AE14" i="1"/>
  <c r="AI18" i="30"/>
  <c r="AE19" i="1"/>
  <c r="AE16" i="1"/>
  <c r="AI15" i="30"/>
  <c r="AE5" i="1"/>
  <c r="AI4" i="30"/>
  <c r="AE18" i="1"/>
  <c r="AI17" i="30"/>
  <c r="AI14" i="30"/>
  <c r="AE15" i="1"/>
  <c r="AE8" i="1"/>
  <c r="AI7" i="30"/>
  <c r="AI12" i="30"/>
  <c r="AE13" i="1"/>
  <c r="AI6" i="30"/>
  <c r="AE7" i="1"/>
  <c r="AB11" i="30"/>
  <c r="AA11" i="30"/>
  <c r="Y11" i="31"/>
  <c r="T8" i="33"/>
  <c r="Y9" i="31"/>
  <c r="N9" i="31"/>
  <c r="N17" i="31"/>
  <c r="T17" i="31" s="1"/>
  <c r="Y17" i="31"/>
  <c r="R14" i="34"/>
  <c r="W14" i="34" s="1"/>
  <c r="AE12" i="1" l="1"/>
  <c r="AI11" i="30"/>
  <c r="AD12" i="1"/>
  <c r="I22" i="30"/>
  <c r="T9" i="31"/>
  <c r="E28" i="31"/>
  <c r="Y14" i="34"/>
  <c r="N14" i="34"/>
  <c r="T14" i="34" s="1"/>
  <c r="M22" i="30" l="1"/>
  <c r="K22" i="30" a="1"/>
  <c r="I31" i="31"/>
  <c r="I30" i="31"/>
  <c r="G23" i="31"/>
  <c r="G30" i="31"/>
  <c r="G28" i="31"/>
  <c r="G27" i="31"/>
  <c r="I28" i="31"/>
  <c r="G32" i="31"/>
  <c r="I25" i="31"/>
  <c r="I24" i="31"/>
  <c r="G25" i="31"/>
  <c r="G26" i="31"/>
  <c r="I29" i="31"/>
  <c r="I26" i="31"/>
  <c r="G24" i="31"/>
  <c r="I33" i="31"/>
  <c r="I27" i="31"/>
  <c r="E29" i="31"/>
  <c r="E30" i="31" s="1"/>
  <c r="I23" i="31"/>
  <c r="I32" i="31"/>
  <c r="G22" i="31"/>
  <c r="G29" i="31"/>
  <c r="G31" i="31"/>
  <c r="G33" i="31"/>
  <c r="E31" i="31"/>
  <c r="E32" i="31" s="1"/>
  <c r="R8" i="32"/>
  <c r="W8" i="32" s="1"/>
  <c r="G11" i="31" l="1"/>
  <c r="I11" i="31"/>
  <c r="M26" i="31"/>
  <c r="M24" i="31"/>
  <c r="G9" i="31"/>
  <c r="G16" i="31"/>
  <c r="G18" i="31"/>
  <c r="G8" i="31"/>
  <c r="G7" i="31"/>
  <c r="G17" i="31"/>
  <c r="G15" i="31"/>
  <c r="G10" i="31"/>
  <c r="G12" i="31"/>
  <c r="G14" i="31"/>
  <c r="G4" i="31"/>
  <c r="G13" i="31"/>
  <c r="G6" i="31"/>
  <c r="G5" i="31"/>
  <c r="E33" i="31"/>
  <c r="I4" i="31"/>
  <c r="X4" i="31" s="1"/>
  <c r="I12" i="31"/>
  <c r="X12" i="31" s="1"/>
  <c r="I8" i="31"/>
  <c r="X8" i="31" s="1"/>
  <c r="I18" i="31"/>
  <c r="X18" i="31" s="1"/>
  <c r="I15" i="31"/>
  <c r="X15" i="31" s="1"/>
  <c r="I5" i="31"/>
  <c r="X5" i="31" s="1"/>
  <c r="I6" i="31"/>
  <c r="X6" i="31" s="1"/>
  <c r="I14" i="31"/>
  <c r="X14" i="31" s="1"/>
  <c r="I16" i="31"/>
  <c r="X16" i="31" s="1"/>
  <c r="I9" i="31"/>
  <c r="X9" i="31" s="1"/>
  <c r="I13" i="31"/>
  <c r="X13" i="31" s="1"/>
  <c r="I7" i="31"/>
  <c r="X7" i="31" s="1"/>
  <c r="I17" i="31"/>
  <c r="X17" i="31" s="1"/>
  <c r="I10" i="31"/>
  <c r="X10" i="31" s="1"/>
  <c r="M25" i="31"/>
  <c r="M28" i="31"/>
  <c r="M29" i="31"/>
  <c r="M23" i="31"/>
  <c r="M27" i="31"/>
  <c r="M30" i="31"/>
  <c r="M32" i="31"/>
  <c r="M33" i="31"/>
  <c r="M31" i="31"/>
  <c r="N8" i="32"/>
  <c r="T8" i="32" s="1"/>
  <c r="Y8" i="32"/>
  <c r="X11" i="31" l="1"/>
  <c r="V11" i="31"/>
  <c r="K23" i="31"/>
  <c r="K30" i="31"/>
  <c r="K28" i="31"/>
  <c r="Z16" i="31"/>
  <c r="AC16" i="31"/>
  <c r="AD16" i="31" s="1"/>
  <c r="AE16" i="31" s="1"/>
  <c r="AF16" i="31" s="1"/>
  <c r="AH16" i="31" s="1"/>
  <c r="H16" i="32" s="1"/>
  <c r="AC5" i="31"/>
  <c r="AD5" i="31" s="1"/>
  <c r="AE5" i="31" s="1"/>
  <c r="AF5" i="31" s="1"/>
  <c r="AH5" i="31" s="1"/>
  <c r="H5" i="32" s="1"/>
  <c r="Z5" i="31"/>
  <c r="AC15" i="31"/>
  <c r="AD15" i="31" s="1"/>
  <c r="AE15" i="31" s="1"/>
  <c r="AF15" i="31" s="1"/>
  <c r="AH15" i="31" s="1"/>
  <c r="H15" i="32" s="1"/>
  <c r="Z15" i="31"/>
  <c r="Z7" i="31"/>
  <c r="AC7" i="31"/>
  <c r="AD7" i="31" s="1"/>
  <c r="AE7" i="31" s="1"/>
  <c r="AF7" i="31" s="1"/>
  <c r="AH7" i="31" s="1"/>
  <c r="H7" i="32" s="1"/>
  <c r="R7" i="32" s="1"/>
  <c r="W7" i="32" s="1"/>
  <c r="AC18" i="31"/>
  <c r="AD18" i="31" s="1"/>
  <c r="AE18" i="31" s="1"/>
  <c r="AF18" i="31" s="1"/>
  <c r="AH18" i="31" s="1"/>
  <c r="H18" i="32" s="1"/>
  <c r="Z18" i="31"/>
  <c r="AC17" i="31"/>
  <c r="AD17" i="31" s="1"/>
  <c r="AE17" i="31" s="1"/>
  <c r="AF17" i="31" s="1"/>
  <c r="AH17" i="31" s="1"/>
  <c r="Z17" i="31"/>
  <c r="Z8" i="31"/>
  <c r="AC8" i="31"/>
  <c r="AD8" i="31" s="1"/>
  <c r="AE8" i="31" s="1"/>
  <c r="AF8" i="31" s="1"/>
  <c r="AH8" i="31" s="1"/>
  <c r="H8" i="32" s="1"/>
  <c r="Z12" i="31"/>
  <c r="AC12" i="31"/>
  <c r="AD12" i="31" s="1"/>
  <c r="AE12" i="31" s="1"/>
  <c r="AF12" i="31" s="1"/>
  <c r="AH12" i="31" s="1"/>
  <c r="H12" i="32" s="1"/>
  <c r="Z9" i="31"/>
  <c r="AC9" i="31"/>
  <c r="AD9" i="31" s="1"/>
  <c r="AE9" i="31" s="1"/>
  <c r="AF9" i="31" s="1"/>
  <c r="AH9" i="31" s="1"/>
  <c r="H9" i="32" s="1"/>
  <c r="R9" i="32" s="1"/>
  <c r="W9" i="32" s="1"/>
  <c r="AC6" i="31"/>
  <c r="AD6" i="31" s="1"/>
  <c r="AE6" i="31" s="1"/>
  <c r="AF6" i="31" s="1"/>
  <c r="AH6" i="31" s="1"/>
  <c r="Z6" i="31"/>
  <c r="Z4" i="31"/>
  <c r="AC4" i="31"/>
  <c r="AD4" i="31" s="1"/>
  <c r="AE4" i="31" s="1"/>
  <c r="AF4" i="31" s="1"/>
  <c r="AH4" i="31" s="1"/>
  <c r="H4" i="32" s="1"/>
  <c r="Z13" i="31"/>
  <c r="AC13" i="31"/>
  <c r="AD13" i="31" s="1"/>
  <c r="AE13" i="31" s="1"/>
  <c r="AF13" i="31" s="1"/>
  <c r="AH13" i="31" s="1"/>
  <c r="H13" i="32" s="1"/>
  <c r="AC14" i="31"/>
  <c r="AD14" i="31" s="1"/>
  <c r="AE14" i="31" s="1"/>
  <c r="AF14" i="31" s="1"/>
  <c r="AH14" i="31" s="1"/>
  <c r="H14" i="32" s="1"/>
  <c r="Z14" i="31"/>
  <c r="AC10" i="31"/>
  <c r="AD10" i="31" s="1"/>
  <c r="AE10" i="31" s="1"/>
  <c r="AF10" i="31" s="1"/>
  <c r="AH10" i="31" s="1"/>
  <c r="H10" i="32" s="1"/>
  <c r="Z10" i="31"/>
  <c r="Y11" i="32" l="1"/>
  <c r="K26" i="31"/>
  <c r="K33" i="31"/>
  <c r="K24" i="31"/>
  <c r="K25" i="31"/>
  <c r="K29" i="31"/>
  <c r="K27" i="31"/>
  <c r="K31" i="31"/>
  <c r="K32" i="31"/>
  <c r="AC11" i="31"/>
  <c r="AD11" i="31" s="1"/>
  <c r="AE11" i="31" s="1"/>
  <c r="AF11" i="31" s="1"/>
  <c r="Z11" i="31"/>
  <c r="AB8" i="31"/>
  <c r="AA8" i="31"/>
  <c r="AG9" i="1" s="1"/>
  <c r="AB17" i="31"/>
  <c r="AA17" i="31"/>
  <c r="AG18" i="1" s="1"/>
  <c r="N7" i="32"/>
  <c r="Y7" i="32"/>
  <c r="AA7" i="31"/>
  <c r="AG8" i="1" s="1"/>
  <c r="AB7" i="31"/>
  <c r="AB4" i="31"/>
  <c r="AA4" i="31"/>
  <c r="AA6" i="31"/>
  <c r="AG7" i="1" s="1"/>
  <c r="AB6" i="31"/>
  <c r="AB15" i="31"/>
  <c r="AA15" i="31"/>
  <c r="AG16" i="1" s="1"/>
  <c r="AA18" i="31"/>
  <c r="AG19" i="1" s="1"/>
  <c r="AB18" i="31"/>
  <c r="Y9" i="32"/>
  <c r="N9" i="32"/>
  <c r="T9" i="32" s="1"/>
  <c r="AB5" i="31"/>
  <c r="AA5" i="31"/>
  <c r="AG6" i="1" s="1"/>
  <c r="AB10" i="31"/>
  <c r="AA10" i="31"/>
  <c r="AG11" i="1" s="1"/>
  <c r="AA13" i="31"/>
  <c r="AG14" i="1" s="1"/>
  <c r="AB13" i="31"/>
  <c r="AB9" i="31"/>
  <c r="AA9" i="31"/>
  <c r="AG10" i="1" s="1"/>
  <c r="AB14" i="31"/>
  <c r="AA14" i="31"/>
  <c r="AG15" i="1" s="1"/>
  <c r="AA12" i="31"/>
  <c r="AG13" i="1" s="1"/>
  <c r="AB12" i="31"/>
  <c r="AB16" i="31"/>
  <c r="AA16" i="31"/>
  <c r="AG17" i="1" s="1"/>
  <c r="R14" i="35"/>
  <c r="W14" i="35" s="1"/>
  <c r="R10" i="35"/>
  <c r="W10" i="35" s="1"/>
  <c r="AG5" i="1" l="1"/>
  <c r="AB11" i="31"/>
  <c r="AA11" i="31"/>
  <c r="AG12" i="1" s="1"/>
  <c r="AH19" i="1"/>
  <c r="AI18" i="31"/>
  <c r="AI16" i="31"/>
  <c r="AH17" i="1"/>
  <c r="AI15" i="31"/>
  <c r="AH16" i="1"/>
  <c r="AH7" i="1"/>
  <c r="AI6" i="31"/>
  <c r="AH15" i="1"/>
  <c r="AI14" i="31"/>
  <c r="AI12" i="31"/>
  <c r="AH13" i="1"/>
  <c r="AH10" i="1"/>
  <c r="AI9" i="31"/>
  <c r="AI4" i="31"/>
  <c r="AH5" i="1"/>
  <c r="AH8" i="1"/>
  <c r="AI7" i="31"/>
  <c r="T7" i="32"/>
  <c r="E28" i="32"/>
  <c r="AH6" i="1"/>
  <c r="AI5" i="31"/>
  <c r="AH18" i="1"/>
  <c r="AI17" i="31"/>
  <c r="AH11" i="1"/>
  <c r="AI10" i="31"/>
  <c r="AH14" i="1"/>
  <c r="AI13" i="31"/>
  <c r="AI8" i="31"/>
  <c r="AH9" i="1"/>
  <c r="N10" i="35"/>
  <c r="T10" i="35" s="1"/>
  <c r="Y10" i="35"/>
  <c r="N14" i="35"/>
  <c r="T14" i="35" s="1"/>
  <c r="Y14" i="35"/>
  <c r="AH12" i="1" l="1"/>
  <c r="AI11" i="31"/>
  <c r="I22" i="31"/>
  <c r="I32" i="32"/>
  <c r="M32" i="32" s="1"/>
  <c r="I27" i="32"/>
  <c r="M27" i="32" s="1"/>
  <c r="G23" i="32"/>
  <c r="G32" i="32"/>
  <c r="G26" i="32"/>
  <c r="G24" i="32"/>
  <c r="G29" i="32"/>
  <c r="G28" i="32"/>
  <c r="I30" i="32"/>
  <c r="M30" i="32" s="1"/>
  <c r="G30" i="32"/>
  <c r="I31" i="32"/>
  <c r="M31" i="32" s="1"/>
  <c r="I23" i="32"/>
  <c r="M23" i="32" s="1"/>
  <c r="G25" i="32"/>
  <c r="I33" i="32"/>
  <c r="M33" i="32" s="1"/>
  <c r="G33" i="32"/>
  <c r="E29" i="32"/>
  <c r="E30" i="32" s="1"/>
  <c r="I26" i="32"/>
  <c r="M26" i="32" s="1"/>
  <c r="I28" i="32"/>
  <c r="M28" i="32" s="1"/>
  <c r="I29" i="32"/>
  <c r="M29" i="32" s="1"/>
  <c r="G22" i="32"/>
  <c r="I25" i="32"/>
  <c r="M25" i="32" s="1"/>
  <c r="G31" i="32"/>
  <c r="G27" i="32"/>
  <c r="I24" i="32"/>
  <c r="M24" i="32" s="1"/>
  <c r="E31" i="32"/>
  <c r="E32" i="32" s="1"/>
  <c r="M22" i="31" l="1"/>
  <c r="K22" i="31" a="1"/>
  <c r="I11" i="32"/>
  <c r="G11" i="32"/>
  <c r="G13" i="32"/>
  <c r="G10" i="32"/>
  <c r="I6" i="32"/>
  <c r="X6" i="32" s="1"/>
  <c r="I17" i="32"/>
  <c r="X17" i="32" s="1"/>
  <c r="G8" i="32"/>
  <c r="I4" i="32"/>
  <c r="X4" i="32" s="1"/>
  <c r="I7" i="32"/>
  <c r="X7" i="32" s="1"/>
  <c r="G15" i="32"/>
  <c r="G12" i="32"/>
  <c r="G6" i="32"/>
  <c r="G4" i="32"/>
  <c r="F4" i="33" s="1"/>
  <c r="AG4" i="33" s="1"/>
  <c r="F4" i="34" s="1"/>
  <c r="AG4" i="34" s="1"/>
  <c r="F4" i="35" s="1"/>
  <c r="AG4" i="35" s="1"/>
  <c r="I16" i="32"/>
  <c r="X16" i="32" s="1"/>
  <c r="G18" i="32"/>
  <c r="G7" i="32"/>
  <c r="I10" i="32"/>
  <c r="X10" i="32" s="1"/>
  <c r="G5" i="32"/>
  <c r="I8" i="32"/>
  <c r="X8" i="32" s="1"/>
  <c r="I13" i="32"/>
  <c r="X13" i="32" s="1"/>
  <c r="G14" i="32"/>
  <c r="I12" i="32"/>
  <c r="X12" i="32" s="1"/>
  <c r="I5" i="32"/>
  <c r="X5" i="32" s="1"/>
  <c r="G17" i="32"/>
  <c r="I14" i="32"/>
  <c r="X14" i="32" s="1"/>
  <c r="I9" i="32"/>
  <c r="X9" i="32" s="1"/>
  <c r="G9" i="32"/>
  <c r="I18" i="32"/>
  <c r="X18" i="32" s="1"/>
  <c r="E33" i="32"/>
  <c r="G16" i="32"/>
  <c r="I15" i="32"/>
  <c r="X15" i="32" s="1"/>
  <c r="R8" i="34"/>
  <c r="W8" i="34" s="1"/>
  <c r="R10" i="34"/>
  <c r="W10" i="34" s="1"/>
  <c r="X11" i="32" l="1"/>
  <c r="V11" i="32"/>
  <c r="Z10" i="32"/>
  <c r="AC10" i="32"/>
  <c r="AD10" i="32" s="1"/>
  <c r="AE10" i="32" s="1"/>
  <c r="AF10" i="32" s="1"/>
  <c r="AH10" i="32" s="1"/>
  <c r="H10" i="33" s="1"/>
  <c r="AC15" i="32"/>
  <c r="AD15" i="32" s="1"/>
  <c r="AE15" i="32" s="1"/>
  <c r="AF15" i="32" s="1"/>
  <c r="AH15" i="32" s="1"/>
  <c r="H15" i="33" s="1"/>
  <c r="Z15" i="32"/>
  <c r="Z16" i="32"/>
  <c r="AC16" i="32"/>
  <c r="AD16" i="32" s="1"/>
  <c r="AE16" i="32" s="1"/>
  <c r="AF16" i="32" s="1"/>
  <c r="AH16" i="32" s="1"/>
  <c r="H16" i="33" s="1"/>
  <c r="Z18" i="32"/>
  <c r="AC18" i="32"/>
  <c r="AD18" i="32" s="1"/>
  <c r="AE18" i="32" s="1"/>
  <c r="AF18" i="32" s="1"/>
  <c r="AH18" i="32" s="1"/>
  <c r="H18" i="33" s="1"/>
  <c r="AC9" i="32"/>
  <c r="AD9" i="32" s="1"/>
  <c r="AE9" i="32" s="1"/>
  <c r="AF9" i="32" s="1"/>
  <c r="AH9" i="32" s="1"/>
  <c r="H9" i="33" s="1"/>
  <c r="R9" i="33" s="1"/>
  <c r="W9" i="33" s="1"/>
  <c r="Z9" i="32"/>
  <c r="Z14" i="32"/>
  <c r="AC14" i="32"/>
  <c r="AD14" i="32" s="1"/>
  <c r="AE14" i="32" s="1"/>
  <c r="AF14" i="32" s="1"/>
  <c r="AH14" i="32" s="1"/>
  <c r="H14" i="33" s="1"/>
  <c r="AC7" i="32"/>
  <c r="AD7" i="32" s="1"/>
  <c r="AE7" i="32" s="1"/>
  <c r="AF7" i="32" s="1"/>
  <c r="AH7" i="32" s="1"/>
  <c r="H7" i="33" s="1"/>
  <c r="Z7" i="32"/>
  <c r="Z4" i="32"/>
  <c r="AC4" i="32"/>
  <c r="AD4" i="32" s="1"/>
  <c r="AE4" i="32" s="1"/>
  <c r="AF4" i="32" s="1"/>
  <c r="AH4" i="32" s="1"/>
  <c r="H4" i="33" s="1"/>
  <c r="Z5" i="32"/>
  <c r="AC5" i="32"/>
  <c r="AD5" i="32" s="1"/>
  <c r="AE5" i="32" s="1"/>
  <c r="AF5" i="32" s="1"/>
  <c r="AH5" i="32" s="1"/>
  <c r="H5" i="33" s="1"/>
  <c r="AC12" i="32"/>
  <c r="AD12" i="32" s="1"/>
  <c r="AE12" i="32" s="1"/>
  <c r="AF12" i="32" s="1"/>
  <c r="AH12" i="32" s="1"/>
  <c r="H12" i="33" s="1"/>
  <c r="Z12" i="32"/>
  <c r="AC17" i="32"/>
  <c r="AD17" i="32" s="1"/>
  <c r="AE17" i="32" s="1"/>
  <c r="AF17" i="32" s="1"/>
  <c r="AH17" i="32" s="1"/>
  <c r="H17" i="33" s="1"/>
  <c r="R17" i="33" s="1"/>
  <c r="W17" i="33" s="1"/>
  <c r="N17" i="33" s="1"/>
  <c r="T17" i="33" s="1"/>
  <c r="Z17" i="32"/>
  <c r="Z6" i="32"/>
  <c r="AC6" i="32"/>
  <c r="AD6" i="32" s="1"/>
  <c r="AE6" i="32" s="1"/>
  <c r="AF6" i="32" s="1"/>
  <c r="AH6" i="32" s="1"/>
  <c r="H6" i="33" s="1"/>
  <c r="Z13" i="32"/>
  <c r="AC13" i="32"/>
  <c r="AD13" i="32" s="1"/>
  <c r="AE13" i="32" s="1"/>
  <c r="AF13" i="32" s="1"/>
  <c r="AH13" i="32" s="1"/>
  <c r="H13" i="33" s="1"/>
  <c r="R13" i="33" s="1"/>
  <c r="W13" i="33" s="1"/>
  <c r="Y13" i="33" s="1"/>
  <c r="Z8" i="32"/>
  <c r="AC8" i="32"/>
  <c r="AD8" i="32" s="1"/>
  <c r="AE8" i="32" s="1"/>
  <c r="AF8" i="32" s="1"/>
  <c r="AH8" i="32" s="1"/>
  <c r="H8" i="33" s="1"/>
  <c r="Y10" i="34"/>
  <c r="N10" i="34"/>
  <c r="T10" i="34" s="1"/>
  <c r="N8" i="34"/>
  <c r="T8" i="34" s="1"/>
  <c r="Y8" i="34"/>
  <c r="K33" i="32" l="1"/>
  <c r="K25" i="32"/>
  <c r="K26" i="32"/>
  <c r="K31" i="32"/>
  <c r="K24" i="32"/>
  <c r="K28" i="32"/>
  <c r="K27" i="32"/>
  <c r="K23" i="32"/>
  <c r="K32" i="32"/>
  <c r="K29" i="32"/>
  <c r="K30" i="32"/>
  <c r="N9" i="33"/>
  <c r="T9" i="33" s="1"/>
  <c r="Y11" i="33"/>
  <c r="Z11" i="32"/>
  <c r="AC11" i="32"/>
  <c r="AD11" i="32" s="1"/>
  <c r="AE11" i="32" s="1"/>
  <c r="AF11" i="32" s="1"/>
  <c r="Y9" i="33"/>
  <c r="Y17" i="33"/>
  <c r="N13" i="33"/>
  <c r="T13" i="33" s="1"/>
  <c r="AB17" i="32"/>
  <c r="AA17" i="32"/>
  <c r="AJ18" i="1" s="1"/>
  <c r="AB12" i="32"/>
  <c r="AA12" i="32"/>
  <c r="AJ13" i="1" s="1"/>
  <c r="AB7" i="32"/>
  <c r="AA7" i="32"/>
  <c r="AJ8" i="1" s="1"/>
  <c r="AB5" i="32"/>
  <c r="AA5" i="32"/>
  <c r="AJ6" i="1" s="1"/>
  <c r="AA14" i="32"/>
  <c r="AJ15" i="1" s="1"/>
  <c r="AB14" i="32"/>
  <c r="AA9" i="32"/>
  <c r="AJ10" i="1" s="1"/>
  <c r="AB9" i="32"/>
  <c r="AA18" i="32"/>
  <c r="AJ19" i="1" s="1"/>
  <c r="AB18" i="32"/>
  <c r="AB4" i="32"/>
  <c r="AA4" i="32"/>
  <c r="AB16" i="32"/>
  <c r="AA16" i="32"/>
  <c r="AJ17" i="1" s="1"/>
  <c r="AA8" i="32"/>
  <c r="AJ9" i="1" s="1"/>
  <c r="AB8" i="32"/>
  <c r="AA13" i="32"/>
  <c r="AJ14" i="1" s="1"/>
  <c r="AB13" i="32"/>
  <c r="AB15" i="32"/>
  <c r="AA15" i="32"/>
  <c r="AJ16" i="1" s="1"/>
  <c r="AA6" i="32"/>
  <c r="AJ7" i="1" s="1"/>
  <c r="AB6" i="32"/>
  <c r="AB10" i="32"/>
  <c r="AA10" i="32"/>
  <c r="AJ11" i="1" s="1"/>
  <c r="E28" i="33" l="1"/>
  <c r="AJ5" i="1"/>
  <c r="AB11" i="32"/>
  <c r="AA11" i="32"/>
  <c r="AJ12" i="1" s="1"/>
  <c r="AK16" i="1"/>
  <c r="AI15" i="32"/>
  <c r="AK15" i="1"/>
  <c r="AI14" i="32"/>
  <c r="AI8" i="32"/>
  <c r="AK9" i="1"/>
  <c r="AI5" i="32"/>
  <c r="AK6" i="1"/>
  <c r="AI16" i="32"/>
  <c r="AK17" i="1"/>
  <c r="AK5" i="1"/>
  <c r="AI4" i="32"/>
  <c r="AK11" i="1"/>
  <c r="AI10" i="32"/>
  <c r="AK8" i="1"/>
  <c r="AI7" i="32"/>
  <c r="AI13" i="32"/>
  <c r="AK14" i="1"/>
  <c r="AK19" i="1"/>
  <c r="AI18" i="32"/>
  <c r="AI12" i="32"/>
  <c r="AK13" i="1"/>
  <c r="AI6" i="32"/>
  <c r="AK7" i="1"/>
  <c r="AK18" i="1"/>
  <c r="AI17" i="32"/>
  <c r="AI9" i="32"/>
  <c r="AK10" i="1"/>
  <c r="I33" i="33" l="1"/>
  <c r="M33" i="33" s="1"/>
  <c r="I23" i="33"/>
  <c r="M23" i="33" s="1"/>
  <c r="I32" i="33"/>
  <c r="M32" i="33" s="1"/>
  <c r="I25" i="33"/>
  <c r="M25" i="33" s="1"/>
  <c r="G28" i="33"/>
  <c r="I30" i="33"/>
  <c r="M30" i="33" s="1"/>
  <c r="G23" i="33"/>
  <c r="G25" i="33"/>
  <c r="E29" i="33"/>
  <c r="E30" i="33" s="1"/>
  <c r="G29" i="33"/>
  <c r="I24" i="33"/>
  <c r="M24" i="33" s="1"/>
  <c r="G22" i="33"/>
  <c r="G32" i="33"/>
  <c r="I28" i="33"/>
  <c r="M28" i="33" s="1"/>
  <c r="I31" i="33"/>
  <c r="M31" i="33" s="1"/>
  <c r="G30" i="33"/>
  <c r="G24" i="33"/>
  <c r="G33" i="33"/>
  <c r="G27" i="33"/>
  <c r="I26" i="33"/>
  <c r="M26" i="33" s="1"/>
  <c r="G26" i="33"/>
  <c r="G31" i="33"/>
  <c r="E31" i="33"/>
  <c r="E32" i="33" s="1"/>
  <c r="I27" i="33"/>
  <c r="M27" i="33" s="1"/>
  <c r="I29" i="33"/>
  <c r="M29" i="33" s="1"/>
  <c r="AK12" i="1"/>
  <c r="AI11" i="32"/>
  <c r="I22" i="32"/>
  <c r="G11" i="33" l="1"/>
  <c r="I11" i="33"/>
  <c r="G9" i="33"/>
  <c r="G7" i="33"/>
  <c r="I12" i="33"/>
  <c r="X12" i="33" s="1"/>
  <c r="G10" i="33"/>
  <c r="E33" i="33"/>
  <c r="G8" i="33"/>
  <c r="G16" i="33"/>
  <c r="G13" i="33"/>
  <c r="G15" i="33"/>
  <c r="G5" i="33"/>
  <c r="G12" i="33"/>
  <c r="G17" i="33"/>
  <c r="I17" i="33"/>
  <c r="X17" i="33" s="1"/>
  <c r="I6" i="33"/>
  <c r="X6" i="33" s="1"/>
  <c r="I18" i="33"/>
  <c r="X18" i="33" s="1"/>
  <c r="G14" i="33"/>
  <c r="G18" i="33"/>
  <c r="G6" i="33"/>
  <c r="G4" i="33"/>
  <c r="I9" i="33"/>
  <c r="X9" i="33" s="1"/>
  <c r="I13" i="33"/>
  <c r="X13" i="33" s="1"/>
  <c r="I4" i="33"/>
  <c r="X4" i="33" s="1"/>
  <c r="I15" i="33"/>
  <c r="X15" i="33" s="1"/>
  <c r="I8" i="33"/>
  <c r="X8" i="33" s="1"/>
  <c r="I10" i="33"/>
  <c r="X10" i="33" s="1"/>
  <c r="I16" i="33"/>
  <c r="X16" i="33" s="1"/>
  <c r="I7" i="33"/>
  <c r="X7" i="33" s="1"/>
  <c r="I5" i="33"/>
  <c r="X5" i="33" s="1"/>
  <c r="Z5" i="33" s="1"/>
  <c r="I14" i="33"/>
  <c r="X14" i="33" s="1"/>
  <c r="M22" i="32"/>
  <c r="K22" i="32" a="1"/>
  <c r="V11" i="33" l="1"/>
  <c r="X11" i="33"/>
  <c r="K24" i="33" s="1"/>
  <c r="K28" i="33"/>
  <c r="K23" i="33"/>
  <c r="K26" i="33"/>
  <c r="K29" i="33"/>
  <c r="AC12" i="33"/>
  <c r="AD12" i="33" s="1"/>
  <c r="AE12" i="33" s="1"/>
  <c r="AF12" i="33" s="1"/>
  <c r="AH12" i="33" s="1"/>
  <c r="H12" i="34" s="1"/>
  <c r="Z12" i="33"/>
  <c r="AC17" i="33"/>
  <c r="AD17" i="33" s="1"/>
  <c r="AE17" i="33" s="1"/>
  <c r="AF17" i="33" s="1"/>
  <c r="AH17" i="33" s="1"/>
  <c r="H17" i="34" s="1"/>
  <c r="R17" i="34" s="1"/>
  <c r="W17" i="34" s="1"/>
  <c r="Z17" i="33"/>
  <c r="AC6" i="33"/>
  <c r="AD6" i="33" s="1"/>
  <c r="AE6" i="33" s="1"/>
  <c r="AF6" i="33" s="1"/>
  <c r="AH6" i="33" s="1"/>
  <c r="H6" i="34" s="1"/>
  <c r="Z6" i="33"/>
  <c r="Z18" i="33"/>
  <c r="AC18" i="33"/>
  <c r="AD18" i="33" s="1"/>
  <c r="AE18" i="33" s="1"/>
  <c r="AF18" i="33" s="1"/>
  <c r="AH18" i="33" s="1"/>
  <c r="H18" i="34" s="1"/>
  <c r="Z9" i="33"/>
  <c r="AC9" i="33"/>
  <c r="AD9" i="33" s="1"/>
  <c r="AE9" i="33" s="1"/>
  <c r="AF9" i="33" s="1"/>
  <c r="AH9" i="33" s="1"/>
  <c r="H9" i="34" s="1"/>
  <c r="Z13" i="33"/>
  <c r="AC13" i="33"/>
  <c r="AD13" i="33" s="1"/>
  <c r="AE13" i="33" s="1"/>
  <c r="AF13" i="33" s="1"/>
  <c r="AH13" i="33" s="1"/>
  <c r="H13" i="34" s="1"/>
  <c r="AC4" i="33"/>
  <c r="AD4" i="33" s="1"/>
  <c r="AE4" i="33" s="1"/>
  <c r="AF4" i="33" s="1"/>
  <c r="AH4" i="33" s="1"/>
  <c r="H4" i="34" s="1"/>
  <c r="Z4" i="33"/>
  <c r="Z15" i="33"/>
  <c r="AC15" i="33"/>
  <c r="AD15" i="33" s="1"/>
  <c r="AE15" i="33" s="1"/>
  <c r="AF15" i="33" s="1"/>
  <c r="AH15" i="33" s="1"/>
  <c r="H15" i="34" s="1"/>
  <c r="Z8" i="33"/>
  <c r="AC8" i="33"/>
  <c r="AD8" i="33" s="1"/>
  <c r="AE8" i="33" s="1"/>
  <c r="AF8" i="33" s="1"/>
  <c r="AH8" i="33" s="1"/>
  <c r="H8" i="34" s="1"/>
  <c r="AC10" i="33"/>
  <c r="AD10" i="33" s="1"/>
  <c r="AE10" i="33" s="1"/>
  <c r="AF10" i="33" s="1"/>
  <c r="AH10" i="33" s="1"/>
  <c r="H10" i="34" s="1"/>
  <c r="Z10" i="33"/>
  <c r="Z16" i="33"/>
  <c r="AC16" i="33"/>
  <c r="AD16" i="33" s="1"/>
  <c r="AE16" i="33" s="1"/>
  <c r="AF16" i="33" s="1"/>
  <c r="AH16" i="33" s="1"/>
  <c r="H16" i="34" s="1"/>
  <c r="AC7" i="33"/>
  <c r="AD7" i="33" s="1"/>
  <c r="AE7" i="33" s="1"/>
  <c r="AF7" i="33" s="1"/>
  <c r="AH7" i="33" s="1"/>
  <c r="H7" i="34" s="1"/>
  <c r="Z7" i="33"/>
  <c r="AC5" i="33"/>
  <c r="AD5" i="33" s="1"/>
  <c r="AE5" i="33" s="1"/>
  <c r="AF5" i="33" s="1"/>
  <c r="AH5" i="33" s="1"/>
  <c r="H5" i="34" s="1"/>
  <c r="R5" i="34" s="1"/>
  <c r="W5" i="34" s="1"/>
  <c r="AC14" i="33"/>
  <c r="AD14" i="33" s="1"/>
  <c r="AE14" i="33" s="1"/>
  <c r="AF14" i="33" s="1"/>
  <c r="AH14" i="33" s="1"/>
  <c r="H14" i="34" s="1"/>
  <c r="Z14" i="33"/>
  <c r="AB5" i="33"/>
  <c r="AA5" i="33"/>
  <c r="AM6" i="1" s="1"/>
  <c r="R6" i="35"/>
  <c r="W6" i="35" s="1"/>
  <c r="R8" i="35"/>
  <c r="W8" i="35" s="1"/>
  <c r="Y11" i="34" l="1"/>
  <c r="K32" i="33"/>
  <c r="K27" i="33"/>
  <c r="K25" i="33"/>
  <c r="K30" i="33"/>
  <c r="K31" i="33"/>
  <c r="K33" i="33"/>
  <c r="Z11" i="33"/>
  <c r="AC11" i="33"/>
  <c r="AD11" i="33" s="1"/>
  <c r="AE11" i="33" s="1"/>
  <c r="AF11" i="33" s="1"/>
  <c r="AB8" i="33"/>
  <c r="AA8" i="33"/>
  <c r="AM9" i="1" s="1"/>
  <c r="AA10" i="33"/>
  <c r="AM11" i="1" s="1"/>
  <c r="AB10" i="33"/>
  <c r="AB7" i="33"/>
  <c r="AA7" i="33"/>
  <c r="AM8" i="1" s="1"/>
  <c r="AA12" i="33"/>
  <c r="AM13" i="1" s="1"/>
  <c r="AB12" i="33"/>
  <c r="N17" i="34"/>
  <c r="T17" i="34" s="1"/>
  <c r="Y17" i="34"/>
  <c r="AA17" i="33"/>
  <c r="AM18" i="1" s="1"/>
  <c r="AB17" i="33"/>
  <c r="AA6" i="33"/>
  <c r="AM7" i="1" s="1"/>
  <c r="AB6" i="33"/>
  <c r="AB18" i="33"/>
  <c r="AA18" i="33"/>
  <c r="AM19" i="1" s="1"/>
  <c r="AB9" i="33"/>
  <c r="AA9" i="33"/>
  <c r="AM10" i="1" s="1"/>
  <c r="AA13" i="33"/>
  <c r="AM14" i="1" s="1"/>
  <c r="AB13" i="33"/>
  <c r="AA4" i="33"/>
  <c r="AM5" i="1" s="1"/>
  <c r="AB4" i="33"/>
  <c r="AB15" i="33"/>
  <c r="AA15" i="33"/>
  <c r="AM16" i="1" s="1"/>
  <c r="AB16" i="33"/>
  <c r="AA16" i="33"/>
  <c r="AM17" i="1" s="1"/>
  <c r="Y5" i="34"/>
  <c r="N5" i="34"/>
  <c r="AB14" i="33"/>
  <c r="AA14" i="33"/>
  <c r="AM15" i="1" s="1"/>
  <c r="AI5" i="33"/>
  <c r="AN6" i="1"/>
  <c r="N8" i="35"/>
  <c r="T8" i="35" s="1"/>
  <c r="Y8" i="35"/>
  <c r="Y6" i="35"/>
  <c r="N6" i="35"/>
  <c r="T6" i="35" s="1"/>
  <c r="AI8" i="33" l="1"/>
  <c r="AN9" i="1"/>
  <c r="AN8" i="1"/>
  <c r="AI7" i="33"/>
  <c r="AA11" i="33"/>
  <c r="AB11" i="33"/>
  <c r="AN11" i="1"/>
  <c r="AI10" i="33"/>
  <c r="E28" i="34"/>
  <c r="T5" i="34"/>
  <c r="AN13" i="1"/>
  <c r="AI12" i="33"/>
  <c r="AN18" i="1"/>
  <c r="AI17" i="33"/>
  <c r="AN7" i="1"/>
  <c r="AI6" i="33"/>
  <c r="AI18" i="33"/>
  <c r="AN19" i="1"/>
  <c r="AN10" i="1"/>
  <c r="AI9" i="33"/>
  <c r="AI13" i="33"/>
  <c r="AN14" i="1"/>
  <c r="AI4" i="33"/>
  <c r="AN5" i="1"/>
  <c r="AI15" i="33"/>
  <c r="AN16" i="1"/>
  <c r="AN17" i="1"/>
  <c r="AI16" i="33"/>
  <c r="AN15" i="1"/>
  <c r="AI14" i="33"/>
  <c r="AM12" i="1" l="1"/>
  <c r="I22" i="33"/>
  <c r="E31" i="34"/>
  <c r="E32" i="34" s="1"/>
  <c r="I12" i="34" s="1"/>
  <c r="X12" i="34" s="1"/>
  <c r="AN12" i="1"/>
  <c r="AI11" i="33"/>
  <c r="G25" i="34"/>
  <c r="E29" i="34"/>
  <c r="E30" i="34" s="1"/>
  <c r="G27" i="34"/>
  <c r="G33" i="34"/>
  <c r="I28" i="34"/>
  <c r="M28" i="34" s="1"/>
  <c r="G26" i="34"/>
  <c r="G23" i="34"/>
  <c r="I24" i="34"/>
  <c r="M24" i="34" s="1"/>
  <c r="G28" i="34"/>
  <c r="G29" i="34"/>
  <c r="I31" i="34"/>
  <c r="M31" i="34" s="1"/>
  <c r="G32" i="34"/>
  <c r="I33" i="34"/>
  <c r="M33" i="34" s="1"/>
  <c r="I29" i="34"/>
  <c r="M29" i="34" s="1"/>
  <c r="I27" i="34"/>
  <c r="M27" i="34" s="1"/>
  <c r="I30" i="34"/>
  <c r="M30" i="34" s="1"/>
  <c r="I26" i="34"/>
  <c r="M26" i="34" s="1"/>
  <c r="I23" i="34"/>
  <c r="M23" i="34" s="1"/>
  <c r="G22" i="34"/>
  <c r="G30" i="34"/>
  <c r="I25" i="34"/>
  <c r="M25" i="34" s="1"/>
  <c r="I32" i="34"/>
  <c r="M32" i="34" s="1"/>
  <c r="G31" i="34"/>
  <c r="G24" i="34"/>
  <c r="M22" i="33" l="1"/>
  <c r="K22" i="33" a="1"/>
  <c r="G18" i="34"/>
  <c r="I9" i="34"/>
  <c r="X9" i="34" s="1"/>
  <c r="G13" i="34"/>
  <c r="G15" i="34"/>
  <c r="G5" i="34"/>
  <c r="I15" i="34"/>
  <c r="X15" i="34" s="1"/>
  <c r="I7" i="34"/>
  <c r="X7" i="34" s="1"/>
  <c r="G10" i="34"/>
  <c r="I4" i="34"/>
  <c r="X4" i="34" s="1"/>
  <c r="G17" i="34"/>
  <c r="G9" i="34"/>
  <c r="I13" i="34"/>
  <c r="X13" i="34" s="1"/>
  <c r="I17" i="34"/>
  <c r="X17" i="34" s="1"/>
  <c r="I6" i="34"/>
  <c r="X6" i="34" s="1"/>
  <c r="I16" i="34"/>
  <c r="X16" i="34" s="1"/>
  <c r="I18" i="34"/>
  <c r="X18" i="34" s="1"/>
  <c r="I5" i="34"/>
  <c r="X5" i="34" s="1"/>
  <c r="G8" i="34"/>
  <c r="G6" i="34"/>
  <c r="G7" i="34"/>
  <c r="G12" i="34"/>
  <c r="E33" i="34"/>
  <c r="I8" i="34"/>
  <c r="X8" i="34" s="1"/>
  <c r="I11" i="34"/>
  <c r="G11" i="34"/>
  <c r="I10" i="34"/>
  <c r="X10" i="34" s="1"/>
  <c r="G14" i="34"/>
  <c r="I14" i="34"/>
  <c r="X14" i="34" s="1"/>
  <c r="G4" i="34"/>
  <c r="G16" i="34"/>
  <c r="Z12" i="34"/>
  <c r="AC12" i="34"/>
  <c r="AD12" i="34" s="1"/>
  <c r="AE12" i="34" s="1"/>
  <c r="AF12" i="34" s="1"/>
  <c r="AH12" i="34" s="1"/>
  <c r="H12" i="35" s="1"/>
  <c r="Z16" i="34" l="1"/>
  <c r="AC16" i="34"/>
  <c r="AD16" i="34" s="1"/>
  <c r="AE16" i="34" s="1"/>
  <c r="AF16" i="34" s="1"/>
  <c r="AH16" i="34" s="1"/>
  <c r="H16" i="35" s="1"/>
  <c r="AB16" i="34"/>
  <c r="AA16" i="34"/>
  <c r="AP17" i="1" s="1"/>
  <c r="AC7" i="34"/>
  <c r="AD7" i="34" s="1"/>
  <c r="AE7" i="34" s="1"/>
  <c r="AF7" i="34" s="1"/>
  <c r="AH7" i="34" s="1"/>
  <c r="H7" i="35" s="1"/>
  <c r="Z7" i="34"/>
  <c r="AC18" i="34"/>
  <c r="AD18" i="34" s="1"/>
  <c r="AE18" i="34" s="1"/>
  <c r="AF18" i="34" s="1"/>
  <c r="AH18" i="34" s="1"/>
  <c r="H18" i="35" s="1"/>
  <c r="Z18" i="34"/>
  <c r="AC5" i="34"/>
  <c r="AD5" i="34" s="1"/>
  <c r="AE5" i="34" s="1"/>
  <c r="AF5" i="34" s="1"/>
  <c r="AH5" i="34" s="1"/>
  <c r="H5" i="35" s="1"/>
  <c r="R5" i="35" s="1"/>
  <c r="W5" i="35" s="1"/>
  <c r="Z5" i="34"/>
  <c r="Z10" i="34"/>
  <c r="AC10" i="34"/>
  <c r="AD10" i="34" s="1"/>
  <c r="AE10" i="34" s="1"/>
  <c r="AF10" i="34" s="1"/>
  <c r="AH10" i="34" s="1"/>
  <c r="H10" i="35" s="1"/>
  <c r="AC14" i="34"/>
  <c r="AD14" i="34" s="1"/>
  <c r="AE14" i="34" s="1"/>
  <c r="AF14" i="34" s="1"/>
  <c r="AH14" i="34" s="1"/>
  <c r="H14" i="35" s="1"/>
  <c r="Z14" i="34"/>
  <c r="Z9" i="34"/>
  <c r="AC9" i="34"/>
  <c r="AD9" i="34" s="1"/>
  <c r="AE9" i="34" s="1"/>
  <c r="AF9" i="34" s="1"/>
  <c r="AH9" i="34" s="1"/>
  <c r="H9" i="35" s="1"/>
  <c r="Z15" i="34"/>
  <c r="AC15" i="34"/>
  <c r="AD15" i="34" s="1"/>
  <c r="AE15" i="34" s="1"/>
  <c r="AF15" i="34" s="1"/>
  <c r="AH15" i="34" s="1"/>
  <c r="H15" i="35" s="1"/>
  <c r="AC4" i="34"/>
  <c r="AD4" i="34" s="1"/>
  <c r="AE4" i="34" s="1"/>
  <c r="AF4" i="34" s="1"/>
  <c r="AH4" i="34" s="1"/>
  <c r="H4" i="35" s="1"/>
  <c r="Z4" i="34"/>
  <c r="AC13" i="34"/>
  <c r="AD13" i="34" s="1"/>
  <c r="AE13" i="34" s="1"/>
  <c r="AF13" i="34" s="1"/>
  <c r="AH13" i="34" s="1"/>
  <c r="H13" i="35" s="1"/>
  <c r="R13" i="35" s="1"/>
  <c r="W13" i="35" s="1"/>
  <c r="Z13" i="34"/>
  <c r="AC17" i="34"/>
  <c r="AD17" i="34" s="1"/>
  <c r="AE17" i="34" s="1"/>
  <c r="AF17" i="34" s="1"/>
  <c r="AH17" i="34" s="1"/>
  <c r="H17" i="35" s="1"/>
  <c r="R17" i="35" s="1"/>
  <c r="W17" i="35" s="1"/>
  <c r="Z17" i="34"/>
  <c r="AC6" i="34"/>
  <c r="AD6" i="34" s="1"/>
  <c r="AE6" i="34" s="1"/>
  <c r="AF6" i="34" s="1"/>
  <c r="AH6" i="34" s="1"/>
  <c r="H6" i="35" s="1"/>
  <c r="Z6" i="34"/>
  <c r="Z8" i="34"/>
  <c r="AC8" i="34"/>
  <c r="AD8" i="34" s="1"/>
  <c r="AE8" i="34" s="1"/>
  <c r="AF8" i="34" s="1"/>
  <c r="AH8" i="34" s="1"/>
  <c r="H8" i="35" s="1"/>
  <c r="X11" i="34"/>
  <c r="V11" i="34"/>
  <c r="AB12" i="34"/>
  <c r="AA12" i="34"/>
  <c r="AP13" i="1" s="1"/>
  <c r="K26" i="34"/>
  <c r="K23" i="34"/>
  <c r="K27" i="34"/>
  <c r="Y11" i="35" l="1"/>
  <c r="AQ17" i="1"/>
  <c r="AI16" i="34"/>
  <c r="C17" i="1"/>
  <c r="D17" i="1"/>
  <c r="B17" i="1"/>
  <c r="Y5" i="35"/>
  <c r="N5" i="35"/>
  <c r="T5" i="35" s="1"/>
  <c r="AB10" i="34"/>
  <c r="AA10" i="34"/>
  <c r="AP11" i="1" s="1"/>
  <c r="AA7" i="34"/>
  <c r="AP8" i="1" s="1"/>
  <c r="AB7" i="34"/>
  <c r="AA18" i="34"/>
  <c r="AP19" i="1" s="1"/>
  <c r="AB18" i="34"/>
  <c r="AB5" i="34"/>
  <c r="AA5" i="34"/>
  <c r="AP6" i="1" s="1"/>
  <c r="AB14" i="34"/>
  <c r="AA14" i="34"/>
  <c r="AP15" i="1" s="1"/>
  <c r="AB9" i="34"/>
  <c r="AA9" i="34"/>
  <c r="AP10" i="1" s="1"/>
  <c r="AB15" i="34"/>
  <c r="AA15" i="34"/>
  <c r="AP16" i="1" s="1"/>
  <c r="AB4" i="34"/>
  <c r="AA4" i="34"/>
  <c r="AP5" i="1" s="1"/>
  <c r="AA13" i="34"/>
  <c r="AP14" i="1" s="1"/>
  <c r="AB13" i="34"/>
  <c r="AB17" i="34"/>
  <c r="AA17" i="34"/>
  <c r="AP18" i="1" s="1"/>
  <c r="AB6" i="34"/>
  <c r="AA6" i="34"/>
  <c r="AP7" i="1" s="1"/>
  <c r="K31" i="34"/>
  <c r="K32" i="34"/>
  <c r="AC11" i="34"/>
  <c r="AD11" i="34" s="1"/>
  <c r="AE11" i="34" s="1"/>
  <c r="AF11" i="34" s="1"/>
  <c r="K28" i="34"/>
  <c r="K25" i="34"/>
  <c r="K24" i="34"/>
  <c r="Z11" i="34"/>
  <c r="K30" i="34"/>
  <c r="K33" i="34"/>
  <c r="K29" i="34"/>
  <c r="N13" i="35"/>
  <c r="T13" i="35" s="1"/>
  <c r="Y13" i="35"/>
  <c r="AA8" i="34"/>
  <c r="AP9" i="1" s="1"/>
  <c r="AB8" i="34"/>
  <c r="N17" i="35"/>
  <c r="Y17" i="35"/>
  <c r="AQ13" i="1"/>
  <c r="AI12" i="34"/>
  <c r="D13" i="1"/>
  <c r="B13" i="1"/>
  <c r="C13" i="1"/>
  <c r="D11" i="1" l="1"/>
  <c r="B11" i="1"/>
  <c r="C11" i="1"/>
  <c r="AQ7" i="1"/>
  <c r="AI6" i="34"/>
  <c r="AQ11" i="1"/>
  <c r="AI10" i="34"/>
  <c r="B8" i="1"/>
  <c r="C8" i="1"/>
  <c r="D8" i="1"/>
  <c r="C19" i="1"/>
  <c r="D19" i="1"/>
  <c r="B19" i="1"/>
  <c r="AQ6" i="1"/>
  <c r="AI5" i="34"/>
  <c r="AI14" i="34"/>
  <c r="AQ15" i="1"/>
  <c r="AQ16" i="1"/>
  <c r="AI15" i="34"/>
  <c r="D16" i="1"/>
  <c r="C16" i="1"/>
  <c r="B16" i="1"/>
  <c r="AQ5" i="1"/>
  <c r="AI4" i="34"/>
  <c r="C14" i="1"/>
  <c r="B14" i="1"/>
  <c r="D14" i="1"/>
  <c r="AI7" i="34"/>
  <c r="AQ8" i="1"/>
  <c r="AQ19" i="1"/>
  <c r="AI18" i="34"/>
  <c r="D6" i="1"/>
  <c r="C6" i="1"/>
  <c r="B6" i="1"/>
  <c r="C15" i="1"/>
  <c r="B15" i="1"/>
  <c r="D15" i="1"/>
  <c r="AQ10" i="1"/>
  <c r="AI9" i="34"/>
  <c r="B10" i="1"/>
  <c r="C10" i="1"/>
  <c r="D10" i="1"/>
  <c r="C5" i="1"/>
  <c r="B5" i="1"/>
  <c r="D5" i="1"/>
  <c r="AQ14" i="1"/>
  <c r="AI13" i="34"/>
  <c r="AI17" i="34"/>
  <c r="AQ18" i="1"/>
  <c r="D18" i="1"/>
  <c r="C18" i="1"/>
  <c r="B18" i="1"/>
  <c r="D7" i="1"/>
  <c r="C7" i="1"/>
  <c r="B7" i="1"/>
  <c r="AA11" i="34"/>
  <c r="AB11" i="34"/>
  <c r="C9" i="1"/>
  <c r="D9" i="1"/>
  <c r="B9" i="1"/>
  <c r="AI8" i="34"/>
  <c r="AQ9" i="1"/>
  <c r="E28" i="35"/>
  <c r="T17" i="35"/>
  <c r="AP12" i="1" l="1"/>
  <c r="C12" i="1" s="1"/>
  <c r="C21" i="1" s="1"/>
  <c r="I22" i="34"/>
  <c r="AQ12" i="1"/>
  <c r="AI11" i="34"/>
  <c r="E31" i="35"/>
  <c r="E32" i="35" s="1"/>
  <c r="I23" i="35"/>
  <c r="M23" i="35" s="1"/>
  <c r="G28" i="35"/>
  <c r="I33" i="35"/>
  <c r="M33" i="35" s="1"/>
  <c r="I28" i="35"/>
  <c r="M28" i="35" s="1"/>
  <c r="G25" i="35"/>
  <c r="I31" i="35"/>
  <c r="M31" i="35" s="1"/>
  <c r="I25" i="35"/>
  <c r="M25" i="35" s="1"/>
  <c r="G22" i="35"/>
  <c r="G23" i="35"/>
  <c r="I32" i="35"/>
  <c r="M32" i="35" s="1"/>
  <c r="G33" i="35"/>
  <c r="G24" i="35"/>
  <c r="G30" i="35"/>
  <c r="G29" i="35"/>
  <c r="I27" i="35"/>
  <c r="M27" i="35" s="1"/>
  <c r="G26" i="35"/>
  <c r="I29" i="35"/>
  <c r="M29" i="35" s="1"/>
  <c r="G31" i="35"/>
  <c r="E29" i="35"/>
  <c r="E30" i="35" s="1"/>
  <c r="G32" i="35"/>
  <c r="I24" i="35"/>
  <c r="M24" i="35" s="1"/>
  <c r="G27" i="35"/>
  <c r="I26" i="35"/>
  <c r="M26" i="35" s="1"/>
  <c r="I30" i="35"/>
  <c r="M30" i="35" s="1"/>
  <c r="I11" i="35" l="1"/>
  <c r="G11" i="35"/>
  <c r="I4" i="35"/>
  <c r="X4" i="35" s="1"/>
  <c r="E33" i="35"/>
  <c r="G18" i="35"/>
  <c r="G15" i="35"/>
  <c r="I7" i="35"/>
  <c r="X7" i="35" s="1"/>
  <c r="B12" i="1"/>
  <c r="B21" i="1" s="1"/>
  <c r="D12" i="1"/>
  <c r="D21" i="1" s="1"/>
  <c r="K22" i="34" a="1"/>
  <c r="M22" i="34"/>
  <c r="I10" i="35"/>
  <c r="X10" i="35" s="1"/>
  <c r="G14" i="35"/>
  <c r="G8" i="35"/>
  <c r="I8" i="35"/>
  <c r="X8" i="35" s="1"/>
  <c r="I14" i="35"/>
  <c r="X14" i="35" s="1"/>
  <c r="I6" i="35"/>
  <c r="X6" i="35" s="1"/>
  <c r="I12" i="35"/>
  <c r="X12" i="35" s="1"/>
  <c r="I17" i="35"/>
  <c r="X17" i="35" s="1"/>
  <c r="G16" i="35"/>
  <c r="G7" i="35"/>
  <c r="G10" i="35"/>
  <c r="I15" i="35"/>
  <c r="X15" i="35" s="1"/>
  <c r="I9" i="35"/>
  <c r="X9" i="35" s="1"/>
  <c r="G4" i="35"/>
  <c r="I5" i="35"/>
  <c r="X5" i="35" s="1"/>
  <c r="G13" i="35"/>
  <c r="I13" i="35"/>
  <c r="X13" i="35" s="1"/>
  <c r="G12" i="35"/>
  <c r="G9" i="35"/>
  <c r="I16" i="35"/>
  <c r="X16" i="35" s="1"/>
  <c r="G5" i="35"/>
  <c r="G6" i="35"/>
  <c r="I18" i="35"/>
  <c r="X18" i="35" s="1"/>
  <c r="G17" i="35"/>
  <c r="X11" i="35" l="1"/>
  <c r="V11" i="35"/>
  <c r="Z4" i="35"/>
  <c r="AC4" i="35"/>
  <c r="AD4" i="35" s="1"/>
  <c r="AE4" i="35" s="1"/>
  <c r="AF4" i="35" s="1"/>
  <c r="AH4" i="35" s="1"/>
  <c r="Z7" i="35"/>
  <c r="AC7" i="35"/>
  <c r="AD7" i="35" s="1"/>
  <c r="AE7" i="35" s="1"/>
  <c r="AF7" i="35" s="1"/>
  <c r="AH7" i="35" s="1"/>
  <c r="Z8" i="35"/>
  <c r="AC8" i="35"/>
  <c r="AD8" i="35" s="1"/>
  <c r="AE8" i="35" s="1"/>
  <c r="AF8" i="35" s="1"/>
  <c r="AH8" i="35" s="1"/>
  <c r="Z14" i="35"/>
  <c r="AC14" i="35"/>
  <c r="AD14" i="35" s="1"/>
  <c r="AE14" i="35" s="1"/>
  <c r="AF14" i="35" s="1"/>
  <c r="AH14" i="35" s="1"/>
  <c r="AC12" i="35"/>
  <c r="AD12" i="35" s="1"/>
  <c r="AE12" i="35" s="1"/>
  <c r="AF12" i="35" s="1"/>
  <c r="AH12" i="35" s="1"/>
  <c r="Z12" i="35"/>
  <c r="AC16" i="35"/>
  <c r="AD16" i="35" s="1"/>
  <c r="AE16" i="35" s="1"/>
  <c r="AF16" i="35" s="1"/>
  <c r="AH16" i="35" s="1"/>
  <c r="Z16" i="35"/>
  <c r="Z10" i="35"/>
  <c r="AC10" i="35"/>
  <c r="AD10" i="35" s="1"/>
  <c r="AE10" i="35" s="1"/>
  <c r="AF10" i="35" s="1"/>
  <c r="AH10" i="35" s="1"/>
  <c r="AC6" i="35"/>
  <c r="AD6" i="35" s="1"/>
  <c r="AE6" i="35" s="1"/>
  <c r="AF6" i="35" s="1"/>
  <c r="AH6" i="35" s="1"/>
  <c r="Z6" i="35"/>
  <c r="Z17" i="35"/>
  <c r="AC17" i="35"/>
  <c r="AD17" i="35" s="1"/>
  <c r="AE17" i="35" s="1"/>
  <c r="AF17" i="35" s="1"/>
  <c r="AH17" i="35" s="1"/>
  <c r="AC15" i="35"/>
  <c r="AD15" i="35" s="1"/>
  <c r="AE15" i="35" s="1"/>
  <c r="AF15" i="35" s="1"/>
  <c r="AH15" i="35" s="1"/>
  <c r="Z15" i="35"/>
  <c r="AC9" i="35"/>
  <c r="AD9" i="35" s="1"/>
  <c r="AE9" i="35" s="1"/>
  <c r="AF9" i="35" s="1"/>
  <c r="AH9" i="35" s="1"/>
  <c r="Z9" i="35"/>
  <c r="AC5" i="35"/>
  <c r="AD5" i="35" s="1"/>
  <c r="AE5" i="35" s="1"/>
  <c r="AF5" i="35" s="1"/>
  <c r="AH5" i="35" s="1"/>
  <c r="Z5" i="35"/>
  <c r="AC13" i="35"/>
  <c r="AD13" i="35" s="1"/>
  <c r="AE13" i="35" s="1"/>
  <c r="AF13" i="35" s="1"/>
  <c r="AH13" i="35" s="1"/>
  <c r="Z13" i="35"/>
  <c r="AC18" i="35"/>
  <c r="AD18" i="35" s="1"/>
  <c r="AE18" i="35" s="1"/>
  <c r="AF18" i="35" s="1"/>
  <c r="AH18" i="35" s="1"/>
  <c r="Z18" i="35"/>
  <c r="AA8" i="35" l="1"/>
  <c r="AS9" i="1" s="1"/>
  <c r="AB8" i="35"/>
  <c r="K28" i="35"/>
  <c r="Z11" i="35"/>
  <c r="K23" i="35"/>
  <c r="K25" i="35"/>
  <c r="K32" i="35"/>
  <c r="K27" i="35"/>
  <c r="K26" i="35"/>
  <c r="K31" i="35"/>
  <c r="K24" i="35"/>
  <c r="AC11" i="35"/>
  <c r="AD11" i="35" s="1"/>
  <c r="AE11" i="35" s="1"/>
  <c r="AF11" i="35" s="1"/>
  <c r="AA4" i="35"/>
  <c r="AS5" i="1" s="1"/>
  <c r="AB4" i="35"/>
  <c r="AB7" i="35"/>
  <c r="AA7" i="35"/>
  <c r="AS8" i="1" s="1"/>
  <c r="K29" i="35"/>
  <c r="K33" i="35"/>
  <c r="K30" i="35"/>
  <c r="AB14" i="35"/>
  <c r="AA14" i="35"/>
  <c r="AS15" i="1" s="1"/>
  <c r="AB12" i="35"/>
  <c r="AA12" i="35"/>
  <c r="AS13" i="1" s="1"/>
  <c r="AB16" i="35"/>
  <c r="AA16" i="35"/>
  <c r="AS17" i="1" s="1"/>
  <c r="AB10" i="35"/>
  <c r="AA10" i="35"/>
  <c r="AS11" i="1" s="1"/>
  <c r="AA6" i="35"/>
  <c r="AS7" i="1" s="1"/>
  <c r="AB6" i="35"/>
  <c r="AA17" i="35"/>
  <c r="AS18" i="1" s="1"/>
  <c r="AB17" i="35"/>
  <c r="AB15" i="35"/>
  <c r="AA15" i="35"/>
  <c r="AS16" i="1" s="1"/>
  <c r="AA9" i="35"/>
  <c r="AS10" i="1" s="1"/>
  <c r="AB9" i="35"/>
  <c r="AA5" i="35"/>
  <c r="AS6" i="1" s="1"/>
  <c r="AB5" i="35"/>
  <c r="AA13" i="35"/>
  <c r="AS14" i="1" s="1"/>
  <c r="AB13" i="35"/>
  <c r="AA18" i="35"/>
  <c r="AB18" i="35"/>
  <c r="AI8" i="35" l="1"/>
  <c r="AT9" i="1"/>
  <c r="AB11" i="35"/>
  <c r="AA11" i="35"/>
  <c r="AT5" i="1"/>
  <c r="AI4" i="35"/>
  <c r="AI7" i="35"/>
  <c r="AT8" i="1"/>
  <c r="AI14" i="35"/>
  <c r="AT15" i="1"/>
  <c r="AI12" i="35"/>
  <c r="AT13" i="1"/>
  <c r="AT17" i="1"/>
  <c r="AI16" i="35"/>
  <c r="AT11" i="1"/>
  <c r="AI10" i="35"/>
  <c r="AI6" i="35"/>
  <c r="AT7" i="1"/>
  <c r="AI17" i="35"/>
  <c r="AT18" i="1"/>
  <c r="AT10" i="1"/>
  <c r="AI9" i="35"/>
  <c r="AI5" i="35"/>
  <c r="AT6" i="1"/>
  <c r="AT14" i="1"/>
  <c r="AI13" i="35"/>
  <c r="AI15" i="35"/>
  <c r="AT16" i="1"/>
  <c r="AI18" i="35"/>
  <c r="AT19" i="1"/>
  <c r="AS19" i="1"/>
  <c r="AV9" i="1" l="1"/>
  <c r="AW9" i="1"/>
  <c r="AX9" i="1" s="1"/>
  <c r="AV5" i="1"/>
  <c r="AW5" i="1"/>
  <c r="AV8" i="1"/>
  <c r="AW8" i="1"/>
  <c r="AT12" i="1"/>
  <c r="AI11" i="35"/>
  <c r="AS12" i="1"/>
  <c r="I22" i="35"/>
  <c r="AW15" i="1"/>
  <c r="AV15" i="1"/>
  <c r="AW16" i="1"/>
  <c r="AV16" i="1"/>
  <c r="AW13" i="1"/>
  <c r="AV13" i="1"/>
  <c r="AV17" i="1"/>
  <c r="AW17" i="1"/>
  <c r="AV11" i="1"/>
  <c r="AW11" i="1"/>
  <c r="AW7" i="1"/>
  <c r="AV7" i="1"/>
  <c r="AV18" i="1"/>
  <c r="AW18" i="1"/>
  <c r="AV10" i="1"/>
  <c r="AW10" i="1"/>
  <c r="AW6" i="1"/>
  <c r="AV6" i="1"/>
  <c r="AW14" i="1"/>
  <c r="AV14" i="1"/>
  <c r="AV19" i="1"/>
  <c r="AW19" i="1"/>
  <c r="AX15" i="1" l="1"/>
  <c r="AX16" i="1"/>
  <c r="AW12" i="1"/>
  <c r="AV12" i="1"/>
  <c r="M22" i="35"/>
  <c r="K22" i="35" a="1"/>
  <c r="AX5" i="1"/>
  <c r="AX8" i="1"/>
  <c r="AX13" i="1"/>
  <c r="AX6" i="1"/>
  <c r="AX7" i="1"/>
  <c r="AX11" i="1"/>
  <c r="AX18" i="1"/>
  <c r="AX10" i="1"/>
  <c r="AX14" i="1"/>
  <c r="AX19" i="1"/>
  <c r="AX17" i="1"/>
  <c r="AX12" i="1" l="1"/>
  <c r="AY5" i="1" l="1"/>
  <c r="AY19" i="1"/>
  <c r="AY12" i="1"/>
  <c r="AY11" i="1"/>
  <c r="AY10" i="1"/>
  <c r="AY14" i="1"/>
  <c r="AY18" i="1"/>
  <c r="AY8" i="1"/>
  <c r="AY15" i="1"/>
  <c r="AY16" i="1"/>
  <c r="AY9" i="1"/>
  <c r="AY7" i="1"/>
  <c r="AY13" i="1"/>
  <c r="AY17" i="1"/>
  <c r="AY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tc={F09B3286-ACD0-BB43-8B8C-9AC7D5107824}</author>
    <author>tc={175CEA0E-EFB3-BB4D-A36F-A6DB022CAB66}</author>
    <author>tc={712A115B-121B-9F47-B3F0-97E4DAB58677}</author>
  </authors>
  <commentList>
    <comment ref="N3" authorId="0" shapeId="0" xr:uid="{F09B3286-ACD0-BB43-8B8C-9AC7D5107824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175CEA0E-EFB3-BB4D-A36F-A6DB022CAB66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712A115B-121B-9F47-B3F0-97E4DAB58677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tc={E082E513-69F9-BE4E-9F5E-409869AF7F25}</author>
    <author>tc={08409660-3D81-564E-AF04-C53A9CA05016}</author>
    <author>tc={1300E993-3C1B-9248-A003-296F608A9F3E}</author>
  </authors>
  <commentList>
    <comment ref="N3" authorId="0" shapeId="0" xr:uid="{E082E513-69F9-BE4E-9F5E-409869AF7F25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08409660-3D81-564E-AF04-C53A9CA05016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1300E993-3C1B-9248-A003-296F608A9F3E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tc={E4084B25-3A9A-4049-83BA-256FC08A9958}</author>
    <author>tc={A65CA705-EB3E-7E4A-874A-D3ABD4460958}</author>
    <author>tc={EDD34997-FEFB-9049-A89C-1FD6163A1230}</author>
  </authors>
  <commentList>
    <comment ref="N3" authorId="0" shapeId="0" xr:uid="{E4084B25-3A9A-4049-83BA-256FC08A995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A65CA705-EB3E-7E4A-874A-D3ABD4460958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EDD34997-FEFB-9049-A89C-1FD6163A1230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tc={3E260D07-8AB8-E043-AFE5-64990A9D53B9}</author>
    <author>Glenn VanOtteren</author>
    <author>tc={F2C698E6-3D9F-B84D-942D-8051CF1BD164}</author>
    <author>tc={761A51C3-223E-024A-A1A8-100001FE03A4}</author>
  </authors>
  <commentList>
    <comment ref="N3" authorId="0" shapeId="0" xr:uid="{3E260D07-8AB8-E043-AFE5-64990A9D53B9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U3" authorId="1" shapeId="0" xr:uid="{234C2DAF-1A39-6444-B0AE-B3773CC05E72}">
      <text>
        <r>
          <rPr>
            <b/>
            <sz val="10"/>
            <color rgb="FF000000"/>
            <rFont val="Tahoma"/>
            <family val="2"/>
          </rPr>
          <t xml:space="preserve">For Time on Distance correction in Pursuit 
</t>
        </r>
        <r>
          <rPr>
            <b/>
            <sz val="10"/>
            <color rgb="FF000000"/>
            <rFont val="Tahoma"/>
            <family val="2"/>
          </rPr>
          <t xml:space="preserve">Races
</t>
        </r>
      </text>
    </comment>
    <comment ref="X3" authorId="2" shapeId="0" xr:uid="{F2C698E6-3D9F-B84D-942D-8051CF1BD164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3" shapeId="0" xr:uid="{761A51C3-223E-024A-A1A8-100001FE03A4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tc={893FBF5F-A98C-9E4B-A64B-FED2F857ABDD}</author>
    <author>tc={38B399E8-7D49-D443-8293-C5D6590FBAA0}</author>
    <author>tc={6EB2A91D-C78C-1F4F-90E9-9B43E88C1661}</author>
  </authors>
  <commentList>
    <comment ref="N3" authorId="0" shapeId="0" xr:uid="{893FBF5F-A98C-9E4B-A64B-FED2F857ABDD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38B399E8-7D49-D443-8293-C5D6590FBAA0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6EB2A91D-C78C-1F4F-90E9-9B43E88C1661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tc={5762C41C-C89B-A944-871E-770FA5010E28}</author>
    <author>tc={FA6D60C6-6547-7F47-857F-C847EBB4D91D}</author>
    <author>tc={B448A7E7-491E-634D-BE71-9533003B5A75}</author>
  </authors>
  <commentList>
    <comment ref="N3" authorId="0" shapeId="0" xr:uid="{5762C41C-C89B-A944-871E-770FA5010E2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FA6D60C6-6547-7F47-857F-C847EBB4D91D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B448A7E7-491E-634D-BE71-9533003B5A75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tc={BD50151A-2892-ED42-BCAF-0D1DB3A3148D}</author>
    <author>tc={AAD699B5-F56B-5E40-88BB-811787D8D220}</author>
    <author>tc={2EDBF92A-38CF-E844-B381-B316530AC68C}</author>
  </authors>
  <commentList>
    <comment ref="N3" authorId="0" shapeId="0" xr:uid="{BD50151A-2892-ED42-BCAF-0D1DB3A3148D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AAD699B5-F56B-5E40-88BB-811787D8D220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2EDBF92A-38CF-E844-B381-B316530AC68C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tc={7F1A8DF7-4723-5849-A021-2BD19B9D6BEA}</author>
    <author>tc={E368BD48-FAA4-A649-A451-57DA41C367CF}</author>
    <author>tc={D0C1AEF8-5CF9-2044-BBAE-3358279E6B0E}</author>
  </authors>
  <commentList>
    <comment ref="N3" authorId="0" shapeId="0" xr:uid="{7F1A8DF7-4723-5849-A021-2BD19B9D6BEA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E368BD48-FAA4-A649-A451-57DA41C367CF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D0C1AEF8-5CF9-2044-BBAE-3358279E6B0E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tc={FC09185B-C8F6-A241-B513-90B4D0B8A769}</author>
    <author>tc={3CD5D9AF-48C3-AF4E-9667-0BF5193980B3}</author>
    <author>tc={7A349025-A46F-2F46-92E5-30E182780F98}</author>
  </authors>
  <commentList>
    <comment ref="N3" authorId="0" shapeId="0" xr:uid="{FC09185B-C8F6-A241-B513-90B4D0B8A769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3CD5D9AF-48C3-AF4E-9667-0BF5193980B3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7A349025-A46F-2F46-92E5-30E182780F98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tc={34F32D4F-1810-9C4F-8278-AE52BD327EB5}</author>
    <author>tc={D51A8E90-2DB3-D247-8FE0-D58BBAAFD348}</author>
    <author>tc={23818F28-53BA-C34A-9A7D-D9E696C9F55B}</author>
  </authors>
  <commentList>
    <comment ref="N3" authorId="0" shapeId="0" xr:uid="{34F32D4F-1810-9C4F-8278-AE52BD327EB5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D51A8E90-2DB3-D247-8FE0-D58BBAAFD348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23818F28-53BA-C34A-9A7D-D9E696C9F55B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tc={48142509-ECFE-D34C-AD4B-2B2FEB30A3A7}</author>
    <author>tc={B54FA381-015B-3346-B8F0-33A37A6C14A0}</author>
    <author>tc={3CE772F8-00F4-024C-8DBE-533865E52CC3}</author>
  </authors>
  <commentList>
    <comment ref="N3" authorId="0" shapeId="0" xr:uid="{48142509-ECFE-D34C-AD4B-2B2FEB30A3A7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number of boats who have a finish time</t>
      </text>
    </comment>
    <comment ref="X3" authorId="1" shapeId="0" xr:uid="{B54FA381-015B-3346-B8F0-33A37A6C14A0}">
      <text>
        <t>[Threaded comment]
Your version of Excel allows you to read this threaded comment; however, any edits to it will get removed if the file is opened in a newer version of Excel. Learn more: https://go.microsoft.com/fwlink/?linkid=870924
Comment:
    Uses actual elapsed time, multiplied by the appropriate time correction factor (Spin vs. No Spin)</t>
      </text>
    </comment>
    <comment ref="AC3" authorId="2" shapeId="0" xr:uid="{3CE772F8-00F4-024C-8DBE-533865E52CC3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upon corrected time based upon time on time scoring.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<sst xmlns="http://schemas.openxmlformats.org/spreadsheetml/2006/main" count="1305" uniqueCount="243">
  <si>
    <t>Race #1 - June 17</t>
  </si>
  <si>
    <t>Race #2 - June 24</t>
  </si>
  <si>
    <t>Race #3 - July 1</t>
  </si>
  <si>
    <t>Race #4 - July 8</t>
  </si>
  <si>
    <t>Race #5 - July 15</t>
  </si>
  <si>
    <t>Race #6 - July 22</t>
  </si>
  <si>
    <t>Race #7 - July 29</t>
  </si>
  <si>
    <t>Race #8 - August 5</t>
  </si>
  <si>
    <t>Race #9 - August 12</t>
  </si>
  <si>
    <t>Race #10 - August 19</t>
  </si>
  <si>
    <t>Race #11 - August 26</t>
  </si>
  <si>
    <t>Collins Series</t>
  </si>
  <si>
    <t>1st</t>
  </si>
  <si>
    <t xml:space="preserve">2nd </t>
  </si>
  <si>
    <t>3rd</t>
  </si>
  <si>
    <t>Line Honors</t>
  </si>
  <si>
    <t># Race Starts</t>
  </si>
  <si>
    <t># Race Finishes</t>
  </si>
  <si>
    <t>Phone</t>
  </si>
  <si>
    <t>Yacht Name</t>
  </si>
  <si>
    <t>Boat Type</t>
  </si>
  <si>
    <t>Owner</t>
  </si>
  <si>
    <t>Season Starting BHCP</t>
  </si>
  <si>
    <t>Season Starting NSHCP</t>
  </si>
  <si>
    <t>Race #1 Actual Finish</t>
  </si>
  <si>
    <t>Race #1 Corrected Finish</t>
  </si>
  <si>
    <t>Race #1 Sutton Points</t>
  </si>
  <si>
    <t>Race #2 Actual Finish</t>
  </si>
  <si>
    <t>Race #2 Corrected Finish</t>
  </si>
  <si>
    <t>Race #2 Sutton Points</t>
  </si>
  <si>
    <t>Race #3 Actual Finish</t>
  </si>
  <si>
    <t>Race #3 Corrected Finish</t>
  </si>
  <si>
    <t>Race #3 Sutton Points</t>
  </si>
  <si>
    <t>Race #4 Actual Finish</t>
  </si>
  <si>
    <t>Race #4 Corrected Finish</t>
  </si>
  <si>
    <t>Race #4 Sutton Points</t>
  </si>
  <si>
    <t>Race #5 Actual Finish</t>
  </si>
  <si>
    <t>Race #5 Corrected Finish</t>
  </si>
  <si>
    <t>Race #5 Sutton Points</t>
  </si>
  <si>
    <t>Race #6 Actual Finish</t>
  </si>
  <si>
    <t>Race #6 Corrected Finish</t>
  </si>
  <si>
    <t>Race #6 Sutton Points</t>
  </si>
  <si>
    <t>Race #7 Actual Finish</t>
  </si>
  <si>
    <t>Race #7 Corrected Finish</t>
  </si>
  <si>
    <t>Race #7 Sutton Points</t>
  </si>
  <si>
    <t>Race #8 Actual Finish</t>
  </si>
  <si>
    <t>Race #8 Corrected Finish</t>
  </si>
  <si>
    <t>Race #8 Sutton Points</t>
  </si>
  <si>
    <t>Race #9 Actual Finish</t>
  </si>
  <si>
    <t>Race #9 Corrected Finish</t>
  </si>
  <si>
    <t>Race #9 Sutton Points</t>
  </si>
  <si>
    <t>Race #10 Actual Finish</t>
  </si>
  <si>
    <t>Race #10 Corrected Finish</t>
  </si>
  <si>
    <t>Race #10 Sutton Points</t>
  </si>
  <si>
    <t>Race #11 Actual Finish</t>
  </si>
  <si>
    <t>Race #11 Corrected Finish</t>
  </si>
  <si>
    <t>Race #11 Sutton Points</t>
  </si>
  <si>
    <t>Season Sub-Total Points</t>
  </si>
  <si>
    <t>Throw Outs   (2 races)</t>
  </si>
  <si>
    <t>Final Season Total Points</t>
  </si>
  <si>
    <t>Season Finish Position</t>
  </si>
  <si>
    <t>231-432-0192</t>
  </si>
  <si>
    <t>Asylum</t>
  </si>
  <si>
    <t>Frers 33</t>
  </si>
  <si>
    <t>Doug Kilgren</t>
  </si>
  <si>
    <t>703-789-3547</t>
  </si>
  <si>
    <t>Exit Strategy</t>
  </si>
  <si>
    <t>John Stamos/John Woods</t>
  </si>
  <si>
    <t>616-540-7667</t>
  </si>
  <si>
    <t>Cheerio</t>
  </si>
  <si>
    <t>Corsair F-27</t>
  </si>
  <si>
    <t>Steven Slot</t>
  </si>
  <si>
    <t>847-736-5924</t>
  </si>
  <si>
    <t>Steve Luebkeman</t>
  </si>
  <si>
    <t>269-207-1953</t>
  </si>
  <si>
    <t>Feng Shui</t>
  </si>
  <si>
    <t>C&amp;C 34</t>
  </si>
  <si>
    <t>Mike Finazzo</t>
  </si>
  <si>
    <t>619-292-9113</t>
  </si>
  <si>
    <t>Grin</t>
  </si>
  <si>
    <t>Ericson 32-200</t>
  </si>
  <si>
    <t>John Woomer</t>
  </si>
  <si>
    <t>415-308-3418</t>
  </si>
  <si>
    <t>KristinB II</t>
  </si>
  <si>
    <t>Catalina 36 TM</t>
  </si>
  <si>
    <t>Mike Cann</t>
  </si>
  <si>
    <t>916-799-3351</t>
  </si>
  <si>
    <t>Mirabelle</t>
  </si>
  <si>
    <t>Cape Dory 32</t>
  </si>
  <si>
    <t>Campbell McLeod</t>
  </si>
  <si>
    <t>231-944-9065</t>
  </si>
  <si>
    <t>Outrageous</t>
  </si>
  <si>
    <t>Tanzer 22</t>
  </si>
  <si>
    <t>Don Webb</t>
  </si>
  <si>
    <t>616-450-3674</t>
  </si>
  <si>
    <t>Paradox</t>
  </si>
  <si>
    <t>Glenn VanOtteren/Ted Standiford</t>
  </si>
  <si>
    <t>616-881-6414</t>
  </si>
  <si>
    <t>Pegasus</t>
  </si>
  <si>
    <t>Catalina 320</t>
  </si>
  <si>
    <t>Bill Allen</t>
  </si>
  <si>
    <t>231-715-0118</t>
  </si>
  <si>
    <t>Superfly</t>
  </si>
  <si>
    <t>Corsair 880</t>
  </si>
  <si>
    <t>Will Harper</t>
  </si>
  <si>
    <t>734-777-5016</t>
  </si>
  <si>
    <t>Triton</t>
  </si>
  <si>
    <t>Hans Christian 43</t>
  </si>
  <si>
    <t>Alex Parks</t>
  </si>
  <si>
    <t># Boats</t>
  </si>
  <si>
    <t>Distance</t>
  </si>
  <si>
    <t>Pursuit Style? (Y/N)</t>
  </si>
  <si>
    <t xml:space="preserve">  </t>
  </si>
  <si>
    <t>Handicap Ratings (by Race Series)</t>
  </si>
  <si>
    <t>Suttons Series</t>
  </si>
  <si>
    <t>* MW PHRF</t>
  </si>
  <si>
    <t>Maximum Adjustments Allowed</t>
  </si>
  <si>
    <t>PHRF Handicap</t>
  </si>
  <si>
    <t>PHRF Non-Spin Handicap</t>
  </si>
  <si>
    <t>Base Handicap (Spinnaker)</t>
  </si>
  <si>
    <t>Non-Spin Handicap (NSHCP)</t>
  </si>
  <si>
    <t>Boat Name</t>
  </si>
  <si>
    <t>Phone Number (text)</t>
  </si>
  <si>
    <t>HCP</t>
  </si>
  <si>
    <t>NSHCP</t>
  </si>
  <si>
    <t>Minus adjustment (Min)</t>
  </si>
  <si>
    <t>Plus adjustment (Max)</t>
  </si>
  <si>
    <t>Catalina 28 TM MK2</t>
  </si>
  <si>
    <t>* Requires MW PHRF Certification (or comparable)</t>
  </si>
  <si>
    <t>Upper Limit of PHRF ratings (Max from Standard)</t>
  </si>
  <si>
    <t>Lower Limit of PHRF ratings (Min from Standard)</t>
  </si>
  <si>
    <t>Those handicaps highlighted in yellow represent best estimates of a standardized PHRF based from ratings on similar boats, and are tentative pending formal Midwest PHRF ratings.</t>
  </si>
  <si>
    <t>Boat Owner</t>
  </si>
  <si>
    <t>MW PHRF Non-Spin Handicap (NSHCP)</t>
  </si>
  <si>
    <t>NBYC Beginning Handicap (Base)</t>
  </si>
  <si>
    <t>Time Correction Factor (Base)</t>
  </si>
  <si>
    <t>NBYC Beginning Non-Spin Handicap (NSHCP)</t>
  </si>
  <si>
    <t>Time Correction Factor (NSHCP)</t>
  </si>
  <si>
    <t>Boat Start (Yes/No)</t>
  </si>
  <si>
    <t>Account 1 point for Starting Boats</t>
  </si>
  <si>
    <t>Start Time (xx:xx:xx)</t>
  </si>
  <si>
    <t>Finish Time (xx:xx:xx)</t>
  </si>
  <si>
    <t>Count if Finished</t>
  </si>
  <si>
    <t>Actual Order of Finish ("Line Honors")</t>
  </si>
  <si>
    <t>Absolute Elapsed Time (hh:mm:ss)</t>
  </si>
  <si>
    <t>Absolute Elapsed Time  (sec, actual)</t>
  </si>
  <si>
    <t>Time On Distance Correction Variance</t>
  </si>
  <si>
    <t>Spinnaker (Yes/No)</t>
  </si>
  <si>
    <t>PHRF used for this Race</t>
  </si>
  <si>
    <t>Spinnaker Correction/Penalty (TOD)</t>
  </si>
  <si>
    <t>Spinnaker Correction/Penalty  (TOT)</t>
  </si>
  <si>
    <t>Total Corrected Finish Time (TOD)</t>
  </si>
  <si>
    <t>Corrected Finish Time (sec) (TOT)</t>
  </si>
  <si>
    <t>Order of Finish - Pursuit (TOD)</t>
  </si>
  <si>
    <t>Order of Finish (TOT)</t>
  </si>
  <si>
    <t>Order of Finish (Suttons)</t>
  </si>
  <si>
    <t>Suttons Points Earned</t>
  </si>
  <si>
    <t>Seconds per mile (TOT)</t>
  </si>
  <si>
    <t>Difference from Reference boat (sec per mile)</t>
  </si>
  <si>
    <t>Differential per mile (Max 30 secs per mile)</t>
  </si>
  <si>
    <t>Golf Handicap; 10% of Differential (secs)</t>
  </si>
  <si>
    <t>Adjusted Base Handicap</t>
  </si>
  <si>
    <t>Adjusted Non-Spin Handicap</t>
  </si>
  <si>
    <t>Season Total Points To Date (Suttons)</t>
  </si>
  <si>
    <t>Notes</t>
  </si>
  <si>
    <t>Yes</t>
  </si>
  <si>
    <t>No</t>
  </si>
  <si>
    <t>Course:</t>
  </si>
  <si>
    <t>Distance (nm)</t>
  </si>
  <si>
    <t>Race Results</t>
  </si>
  <si>
    <t>Time Diff. (sec) TOT</t>
  </si>
  <si>
    <t>Time Diff. (sec) TOD</t>
  </si>
  <si>
    <t>Reference Boat</t>
  </si>
  <si>
    <t>From</t>
  </si>
  <si>
    <t>To:</t>
  </si>
  <si>
    <t>Leg Distance (nm):</t>
  </si>
  <si>
    <r>
      <rPr>
        <b/>
        <u/>
        <sz val="11"/>
        <color theme="1"/>
        <rFont val="Calibri"/>
        <family val="2"/>
        <scheme val="minor"/>
      </rPr>
      <t>Weather</t>
    </r>
    <r>
      <rPr>
        <b/>
        <sz val="11"/>
        <color theme="1"/>
        <rFont val="Calibri"/>
        <family val="2"/>
        <scheme val="minor"/>
      </rPr>
      <t xml:space="preserve">: </t>
    </r>
  </si>
  <si>
    <t>Pursuit Style Race? (Yes/No)</t>
  </si>
  <si>
    <t>Ref Finish</t>
  </si>
  <si>
    <t>% HDCP Adj</t>
  </si>
  <si>
    <t>Start/Finish</t>
  </si>
  <si>
    <t>Ave. Wind Speed (Qualitative)</t>
  </si>
  <si>
    <t>Average</t>
  </si>
  <si>
    <t>Wind (B Factor)</t>
  </si>
  <si>
    <t># Boats Starting</t>
  </si>
  <si>
    <t># Boats Finishing</t>
  </si>
  <si>
    <t>Reference Boat Finish Position</t>
  </si>
  <si>
    <t>Reference Boat (Sec/Mile)</t>
  </si>
  <si>
    <t>Average PHRF of all Finishers</t>
  </si>
  <si>
    <t>Total Distance (nm):</t>
  </si>
  <si>
    <t>Numerator (A Factor)</t>
  </si>
  <si>
    <t>Time Corr. Factor (TCF) of Fleet</t>
  </si>
  <si>
    <t>Race Duration (Scratch Boat)</t>
  </si>
  <si>
    <t>Wind Speed Corrections</t>
  </si>
  <si>
    <t>Wind</t>
  </si>
  <si>
    <t>Speed (kts)</t>
  </si>
  <si>
    <t>B Factor</t>
  </si>
  <si>
    <t xml:space="preserve">Scoring Method: Time On </t>
  </si>
  <si>
    <t>Light Air</t>
  </si>
  <si>
    <t>&lt;= 6</t>
  </si>
  <si>
    <t>For Time On Time Scoring, the TCF = A / (B + PHRF  fleet ave.)</t>
  </si>
  <si>
    <t>7-12</t>
  </si>
  <si>
    <t>Heavy Air</t>
  </si>
  <si>
    <t>&gt;=13</t>
  </si>
  <si>
    <r>
      <t>Weather</t>
    </r>
    <r>
      <rPr>
        <b/>
        <sz val="11"/>
        <color theme="1"/>
        <rFont val="Calibri"/>
        <family val="2"/>
        <scheme val="minor"/>
      </rPr>
      <t xml:space="preserve">: </t>
    </r>
  </si>
  <si>
    <t>Timber Shores</t>
  </si>
  <si>
    <t>Buoy #4</t>
  </si>
  <si>
    <t>Race #4 - Suttons Series</t>
  </si>
  <si>
    <t>Race #5 - Suttons Series</t>
  </si>
  <si>
    <t>Race #6 - Suttons Series</t>
  </si>
  <si>
    <t>Race #7 - Suttons Series</t>
  </si>
  <si>
    <t>Winds 7 knots, NW</t>
  </si>
  <si>
    <t xml:space="preserve">Buoy #4 </t>
  </si>
  <si>
    <t>Race #8 - Suttons Series</t>
  </si>
  <si>
    <t>Race #9 - Suttons Series</t>
  </si>
  <si>
    <r>
      <t>Weather</t>
    </r>
    <r>
      <rPr>
        <b/>
        <sz val="11"/>
        <color theme="1"/>
        <rFont val="Calibri"/>
        <family val="2"/>
        <scheme val="minor"/>
      </rPr>
      <t>: Cloudy, 69 degrees F, Humidity 89%, Wind 8 knots N/NE</t>
    </r>
  </si>
  <si>
    <t>Nun #4</t>
  </si>
  <si>
    <t>Race #10 - Suttons Series</t>
  </si>
  <si>
    <t xml:space="preserve">64 degrees </t>
  </si>
  <si>
    <t>Finish</t>
  </si>
  <si>
    <t>Race #11 - Suttons Series</t>
  </si>
  <si>
    <t>PHRF ratings adjusted mid-season for Multi-hull boats, Cheerio and Superfly</t>
  </si>
  <si>
    <t>NBYC (2025 End of Season) (Start of 2026)</t>
  </si>
  <si>
    <t>MacGuffin</t>
  </si>
  <si>
    <t>Shock Harbor 25</t>
  </si>
  <si>
    <t>Darryl Rosenbaum</t>
  </si>
  <si>
    <t>J Boats J 105</t>
  </si>
  <si>
    <t>J Boats J 92</t>
  </si>
  <si>
    <t>336-480-6122</t>
  </si>
  <si>
    <t>Magoo</t>
  </si>
  <si>
    <t>Nun #6</t>
  </si>
  <si>
    <t>Sunny, 64 degrees F, Wind WNW @ 8 kts</t>
  </si>
  <si>
    <t>Lone Gull</t>
  </si>
  <si>
    <t>Cal 20</t>
  </si>
  <si>
    <t>Kevin Savage</t>
  </si>
  <si>
    <t>231-386-2290</t>
  </si>
  <si>
    <t>Race #2 - Suttons Series - June 30, 2026</t>
  </si>
  <si>
    <t>Race #1 - Suttons Series - June 23, 2026</t>
  </si>
  <si>
    <t>Sunny and Hot, 81 degrees F, Wind SW @ 12-13 kts with gusts</t>
  </si>
  <si>
    <t>Sunny, 78 degrees F, Wind WSW @ 4-5 kts</t>
  </si>
  <si>
    <t xml:space="preserve"> 2026 Tuesday Standings (Suttons Series)</t>
  </si>
  <si>
    <t>Race #3 - Suttons Series, July 7</t>
  </si>
  <si>
    <t>Wind 15+ knots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</si>
</sst>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(* #,##0_);_(* \(#,##0\);_(* &quot;-&quot;_);_(@_)"/>
    <numFmt numFmtId="43" formatCode="_(* #,##0.00_);_(* \(#,##0.00\);_(* &quot;-&quot;??_);_(@_)"/>
    <numFmt numFmtId="164" formatCode="m/d/yy;@"/>
    <numFmt numFmtId="165" formatCode="_(* #,##0_);_(* \(#,##0\);_(* &quot;-&quot;??_);_(@_)"/>
    <numFmt numFmtId="166" formatCode="_(* #,##0.000_);_(* \(#,##0.000\);_(* &quot;-&quot;??_);_(@_)"/>
    <numFmt numFmtId="167" formatCode="_(* #,##0.0_);_(* \(#,##0.0\);_(* &quot;-&quot;??_);_(@_)"/>
    <numFmt numFmtId="168" formatCode="0.0"/>
    <numFmt numFmtId="169" formatCode="#,##0.0"/>
    <numFmt numFmtId="170" formatCode="h:mm:ss;@"/>
    <numFmt numFmtId="171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rgb="FF000000"/>
      <name val="Tahoma"/>
      <family val="2"/>
    </font>
    <font>
      <b/>
      <u val="singleAccounting"/>
      <sz val="11"/>
      <color theme="1"/>
      <name val="Calibri"/>
      <family val="2"/>
      <scheme val="minor"/>
    </font>
    <font>
      <b/>
      <u val="singleAccounting"/>
      <sz val="11"/>
      <color indexed="8"/>
      <name val="Calibri"/>
      <family val="2"/>
      <scheme val="minor"/>
    </font>
    <font>
      <sz val="11"/>
      <color rgb="FFFFFFFF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gray0625">
        <fgColor theme="1"/>
        <bgColor rgb="FF92D050"/>
      </patternFill>
    </fill>
    <fill>
      <patternFill patternType="gray0625">
        <fgColor theme="1"/>
      </patternFill>
    </fill>
    <fill>
      <patternFill patternType="gray0625">
        <fgColor theme="1"/>
        <bgColor rgb="FFFFFF00"/>
      </patternFill>
    </fill>
    <fill>
      <patternFill patternType="gray0625">
        <fgColor theme="1"/>
        <bgColor rgb="FF00B0F0"/>
      </patternFill>
    </fill>
  </fills>
  <borders count="118">
    <border>
      <left/>
      <right/>
      <top/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/>
      <diagonal/>
    </border>
    <border>
      <left/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64"/>
      </right>
      <top style="thin">
        <color theme="0" tint="-0.499984740745262"/>
      </top>
      <bottom/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auto="1"/>
      </right>
      <top/>
      <bottom/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/>
      <bottom style="thin">
        <color theme="0" tint="-0.499984740745262"/>
      </bottom>
      <diagonal/>
    </border>
    <border>
      <left/>
      <right style="medium">
        <color indexed="64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auto="1"/>
      </right>
      <top style="medium">
        <color auto="1"/>
      </top>
      <bottom style="thin">
        <color theme="0" tint="-0.24994659260841701"/>
      </bottom>
      <diagonal/>
    </border>
    <border>
      <left style="medium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/>
      </top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auto="1"/>
      </right>
      <top style="thin">
        <color theme="0" tint="-0.24994659260841701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 style="thin">
        <color theme="0" tint="-0.24994659260841701"/>
      </right>
      <top/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auto="1"/>
      </bottom>
      <diagonal/>
    </border>
    <border>
      <left style="thin">
        <color theme="0" tint="-0.2499465926084170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theme="0" tint="-0.499984740745262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slantDashDot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center" indent="5"/>
    </xf>
    <xf numFmtId="168" fontId="0" fillId="0" borderId="0" xfId="0" applyNumberFormat="1"/>
    <xf numFmtId="168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66" fontId="0" fillId="0" borderId="0" xfId="1" applyNumberFormat="1" applyFont="1" applyFill="1" applyBorder="1" applyAlignment="1">
      <alignment horizontal="center"/>
    </xf>
    <xf numFmtId="165" fontId="0" fillId="0" borderId="0" xfId="1" applyNumberFormat="1" applyFont="1" applyFill="1" applyBorder="1" applyAlignment="1">
      <alignment horizontal="center"/>
    </xf>
    <xf numFmtId="167" fontId="0" fillId="0" borderId="0" xfId="1" applyNumberFormat="1" applyFont="1" applyFill="1" applyBorder="1" applyAlignment="1">
      <alignment horizontal="center"/>
    </xf>
    <xf numFmtId="168" fontId="0" fillId="0" borderId="0" xfId="1" applyNumberFormat="1" applyFont="1" applyFill="1" applyBorder="1" applyAlignment="1">
      <alignment horizontal="center"/>
    </xf>
    <xf numFmtId="0" fontId="0" fillId="0" borderId="12" xfId="0" applyBorder="1"/>
    <xf numFmtId="165" fontId="2" fillId="0" borderId="0" xfId="1" applyNumberFormat="1" applyFont="1" applyFill="1" applyBorder="1" applyAlignment="1">
      <alignment horizontal="center"/>
    </xf>
    <xf numFmtId="0" fontId="2" fillId="0" borderId="2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" fontId="2" fillId="0" borderId="14" xfId="0" applyNumberFormat="1" applyFont="1" applyBorder="1" applyAlignment="1">
      <alignment horizontal="center" vertical="center" wrapText="1"/>
    </xf>
    <xf numFmtId="164" fontId="2" fillId="0" borderId="24" xfId="0" applyNumberFormat="1" applyFont="1" applyBorder="1" applyAlignment="1">
      <alignment horizontal="center" vertical="center" wrapText="1"/>
    </xf>
    <xf numFmtId="164" fontId="2" fillId="0" borderId="20" xfId="0" applyNumberFormat="1" applyFont="1" applyBorder="1" applyAlignment="1">
      <alignment horizontal="center" vertical="center" wrapText="1"/>
    </xf>
    <xf numFmtId="164" fontId="2" fillId="0" borderId="2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65" fontId="5" fillId="0" borderId="13" xfId="0" applyNumberFormat="1" applyFont="1" applyBorder="1" applyAlignment="1">
      <alignment horizontal="right"/>
    </xf>
    <xf numFmtId="0" fontId="2" fillId="2" borderId="13" xfId="0" applyFont="1" applyFill="1" applyBorder="1" applyAlignment="1">
      <alignment horizontal="right"/>
    </xf>
    <xf numFmtId="0" fontId="2" fillId="0" borderId="13" xfId="0" applyFont="1" applyBorder="1" applyAlignment="1">
      <alignment horizontal="right"/>
    </xf>
    <xf numFmtId="169" fontId="2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0" fillId="0" borderId="12" xfId="0" applyBorder="1" applyAlignment="1">
      <alignment horizontal="center"/>
    </xf>
    <xf numFmtId="0" fontId="2" fillId="0" borderId="0" xfId="0" applyFont="1" applyAlignment="1">
      <alignment horizontal="right"/>
    </xf>
    <xf numFmtId="165" fontId="0" fillId="0" borderId="13" xfId="1" applyNumberFormat="1" applyFont="1" applyFill="1" applyBorder="1" applyAlignment="1">
      <alignment horizontal="center"/>
    </xf>
    <xf numFmtId="168" fontId="0" fillId="0" borderId="13" xfId="0" applyNumberFormat="1" applyBorder="1" applyAlignment="1">
      <alignment horizontal="center"/>
    </xf>
    <xf numFmtId="0" fontId="9" fillId="0" borderId="0" xfId="0" applyFont="1"/>
    <xf numFmtId="164" fontId="2" fillId="0" borderId="14" xfId="0" applyNumberFormat="1" applyFont="1" applyBorder="1" applyAlignment="1">
      <alignment horizontal="center" vertical="center" wrapText="1"/>
    </xf>
    <xf numFmtId="164" fontId="2" fillId="0" borderId="23" xfId="0" applyNumberFormat="1" applyFont="1" applyBorder="1" applyAlignment="1">
      <alignment horizontal="center" vertical="center" wrapText="1"/>
    </xf>
    <xf numFmtId="166" fontId="0" fillId="0" borderId="13" xfId="1" applyNumberFormat="1" applyFont="1" applyFill="1" applyBorder="1" applyAlignment="1">
      <alignment horizontal="center"/>
    </xf>
    <xf numFmtId="165" fontId="0" fillId="3" borderId="13" xfId="1" applyNumberFormat="1" applyFont="1" applyFill="1" applyBorder="1" applyAlignment="1">
      <alignment horizontal="center"/>
    </xf>
    <xf numFmtId="167" fontId="0" fillId="3" borderId="13" xfId="1" applyNumberFormat="1" applyFont="1" applyFill="1" applyBorder="1" applyAlignment="1">
      <alignment horizontal="center"/>
    </xf>
    <xf numFmtId="166" fontId="0" fillId="3" borderId="13" xfId="1" applyNumberFormat="1" applyFont="1" applyFill="1" applyBorder="1" applyAlignment="1">
      <alignment horizontal="center"/>
    </xf>
    <xf numFmtId="166" fontId="0" fillId="0" borderId="30" xfId="1" applyNumberFormat="1" applyFont="1" applyFill="1" applyBorder="1" applyAlignment="1">
      <alignment horizontal="center"/>
    </xf>
    <xf numFmtId="37" fontId="0" fillId="0" borderId="49" xfId="1" applyNumberFormat="1" applyFont="1" applyFill="1" applyBorder="1" applyAlignment="1">
      <alignment horizontal="center"/>
    </xf>
    <xf numFmtId="49" fontId="0" fillId="2" borderId="45" xfId="0" applyNumberFormat="1" applyFill="1" applyBorder="1" applyAlignment="1">
      <alignment horizontal="center"/>
    </xf>
    <xf numFmtId="49" fontId="0" fillId="2" borderId="46" xfId="0" applyNumberFormat="1" applyFill="1" applyBorder="1" applyAlignment="1">
      <alignment horizontal="center"/>
    </xf>
    <xf numFmtId="49" fontId="0" fillId="2" borderId="47" xfId="0" applyNumberFormat="1" applyFill="1" applyBorder="1" applyAlignment="1">
      <alignment horizontal="center"/>
    </xf>
    <xf numFmtId="165" fontId="2" fillId="0" borderId="13" xfId="1" applyNumberFormat="1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166" fontId="0" fillId="3" borderId="30" xfId="1" applyNumberFormat="1" applyFont="1" applyFill="1" applyBorder="1" applyAlignment="1">
      <alignment horizontal="center"/>
    </xf>
    <xf numFmtId="37" fontId="0" fillId="3" borderId="49" xfId="1" applyNumberFormat="1" applyFont="1" applyFill="1" applyBorder="1" applyAlignment="1">
      <alignment horizontal="center"/>
    </xf>
    <xf numFmtId="165" fontId="2" fillId="3" borderId="13" xfId="1" applyNumberFormat="1" applyFont="1" applyFill="1" applyBorder="1" applyAlignment="1">
      <alignment horizontal="center"/>
    </xf>
    <xf numFmtId="0" fontId="2" fillId="7" borderId="21" xfId="0" applyFont="1" applyFill="1" applyBorder="1" applyAlignment="1">
      <alignment horizontal="center" vertical="center" wrapText="1"/>
    </xf>
    <xf numFmtId="167" fontId="0" fillId="0" borderId="13" xfId="1" applyNumberFormat="1" applyFont="1" applyFill="1" applyBorder="1" applyAlignment="1">
      <alignment horizontal="center"/>
    </xf>
    <xf numFmtId="164" fontId="2" fillId="6" borderId="2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8" fontId="2" fillId="0" borderId="0" xfId="0" applyNumberFormat="1" applyFont="1" applyAlignment="1">
      <alignment horizontal="left"/>
    </xf>
    <xf numFmtId="168" fontId="5" fillId="0" borderId="0" xfId="0" applyNumberFormat="1" applyFont="1" applyAlignment="1">
      <alignment horizontal="left"/>
    </xf>
    <xf numFmtId="0" fontId="0" fillId="0" borderId="0" xfId="0" applyAlignment="1">
      <alignment horizontal="right"/>
    </xf>
    <xf numFmtId="171" fontId="5" fillId="2" borderId="13" xfId="0" applyNumberFormat="1" applyFont="1" applyFill="1" applyBorder="1" applyAlignment="1">
      <alignment horizontal="right"/>
    </xf>
    <xf numFmtId="164" fontId="2" fillId="6" borderId="29" xfId="0" applyNumberFormat="1" applyFont="1" applyFill="1" applyBorder="1" applyAlignment="1">
      <alignment horizontal="center" vertical="center" wrapText="1"/>
    </xf>
    <xf numFmtId="164" fontId="2" fillId="4" borderId="29" xfId="0" applyNumberFormat="1" applyFont="1" applyFill="1" applyBorder="1" applyAlignment="1">
      <alignment horizontal="center" vertical="center" wrapText="1"/>
    </xf>
    <xf numFmtId="0" fontId="2" fillId="0" borderId="13" xfId="0" applyFont="1" applyBorder="1"/>
    <xf numFmtId="0" fontId="5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49" fontId="0" fillId="2" borderId="88" xfId="0" applyNumberFormat="1" applyFill="1" applyBorder="1" applyAlignment="1">
      <alignment horizontal="center"/>
    </xf>
    <xf numFmtId="9" fontId="5" fillId="2" borderId="13" xfId="0" applyNumberFormat="1" applyFont="1" applyFill="1" applyBorder="1" applyAlignment="1">
      <alignment horizontal="right"/>
    </xf>
    <xf numFmtId="0" fontId="2" fillId="0" borderId="49" xfId="0" applyFont="1" applyBorder="1"/>
    <xf numFmtId="9" fontId="5" fillId="0" borderId="49" xfId="0" applyNumberFormat="1" applyFont="1" applyBorder="1" applyAlignment="1">
      <alignment horizontal="right"/>
    </xf>
    <xf numFmtId="0" fontId="9" fillId="0" borderId="61" xfId="0" applyFont="1" applyBorder="1" applyAlignment="1">
      <alignment horizontal="center"/>
    </xf>
    <xf numFmtId="0" fontId="9" fillId="0" borderId="62" xfId="0" applyFont="1" applyBorder="1" applyAlignment="1">
      <alignment horizontal="center"/>
    </xf>
    <xf numFmtId="0" fontId="2" fillId="0" borderId="61" xfId="0" applyFont="1" applyBorder="1"/>
    <xf numFmtId="0" fontId="2" fillId="0" borderId="62" xfId="0" applyFont="1" applyBorder="1" applyAlignment="1">
      <alignment horizontal="center"/>
    </xf>
    <xf numFmtId="0" fontId="2" fillId="0" borderId="63" xfId="0" applyFont="1" applyBorder="1"/>
    <xf numFmtId="0" fontId="2" fillId="0" borderId="41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0" fontId="5" fillId="0" borderId="61" xfId="0" applyFont="1" applyBorder="1"/>
    <xf numFmtId="0" fontId="5" fillId="0" borderId="0" xfId="0" applyFont="1" applyAlignment="1">
      <alignment horizontal="center"/>
    </xf>
    <xf numFmtId="0" fontId="5" fillId="0" borderId="62" xfId="0" applyFont="1" applyBorder="1" applyAlignment="1">
      <alignment horizontal="center"/>
    </xf>
    <xf numFmtId="0" fontId="5" fillId="0" borderId="63" xfId="0" applyFont="1" applyBorder="1"/>
    <xf numFmtId="0" fontId="5" fillId="0" borderId="41" xfId="0" applyFont="1" applyBorder="1" applyAlignment="1">
      <alignment horizontal="center"/>
    </xf>
    <xf numFmtId="0" fontId="5" fillId="0" borderId="64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61" xfId="0" applyFont="1" applyBorder="1" applyAlignment="1">
      <alignment horizontal="center"/>
    </xf>
    <xf numFmtId="0" fontId="2" fillId="0" borderId="6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61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3" fontId="5" fillId="2" borderId="13" xfId="0" applyNumberFormat="1" applyFont="1" applyFill="1" applyBorder="1" applyAlignment="1">
      <alignment horizontal="right"/>
    </xf>
    <xf numFmtId="165" fontId="0" fillId="3" borderId="32" xfId="1" applyNumberFormat="1" applyFont="1" applyFill="1" applyBorder="1" applyAlignment="1">
      <alignment horizontal="center"/>
    </xf>
    <xf numFmtId="37" fontId="0" fillId="3" borderId="48" xfId="1" applyNumberFormat="1" applyFont="1" applyFill="1" applyBorder="1" applyAlignment="1">
      <alignment horizontal="center"/>
    </xf>
    <xf numFmtId="166" fontId="0" fillId="3" borderId="32" xfId="1" applyNumberFormat="1" applyFont="1" applyFill="1" applyBorder="1" applyAlignment="1">
      <alignment horizontal="center"/>
    </xf>
    <xf numFmtId="166" fontId="0" fillId="3" borderId="57" xfId="1" applyNumberFormat="1" applyFont="1" applyFill="1" applyBorder="1" applyAlignment="1">
      <alignment horizontal="center"/>
    </xf>
    <xf numFmtId="165" fontId="2" fillId="3" borderId="32" xfId="1" applyNumberFormat="1" applyFont="1" applyFill="1" applyBorder="1" applyAlignment="1">
      <alignment horizontal="center"/>
    </xf>
    <xf numFmtId="167" fontId="0" fillId="3" borderId="32" xfId="1" applyNumberFormat="1" applyFont="1" applyFill="1" applyBorder="1" applyAlignment="1">
      <alignment horizontal="center"/>
    </xf>
    <xf numFmtId="168" fontId="5" fillId="0" borderId="55" xfId="0" applyNumberFormat="1" applyFont="1" applyBorder="1" applyAlignment="1">
      <alignment horizontal="left"/>
    </xf>
    <xf numFmtId="168" fontId="2" fillId="0" borderId="55" xfId="0" applyNumberFormat="1" applyFont="1" applyBorder="1" applyAlignment="1">
      <alignment horizontal="left"/>
    </xf>
    <xf numFmtId="169" fontId="0" fillId="3" borderId="52" xfId="0" applyNumberFormat="1" applyFill="1" applyBorder="1" applyAlignment="1">
      <alignment horizontal="center"/>
    </xf>
    <xf numFmtId="169" fontId="0" fillId="0" borderId="51" xfId="0" applyNumberFormat="1" applyBorder="1" applyAlignment="1">
      <alignment horizontal="center"/>
    </xf>
    <xf numFmtId="169" fontId="0" fillId="3" borderId="51" xfId="0" applyNumberFormat="1" applyFill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wrapText="1"/>
    </xf>
    <xf numFmtId="49" fontId="2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2" fillId="0" borderId="23" xfId="0" applyFont="1" applyBorder="1" applyAlignment="1">
      <alignment horizontal="center" vertical="center"/>
    </xf>
    <xf numFmtId="0" fontId="2" fillId="3" borderId="40" xfId="0" applyFont="1" applyFill="1" applyBorder="1" applyAlignment="1">
      <alignment horizontal="left" vertical="center" indent="1"/>
    </xf>
    <xf numFmtId="0" fontId="0" fillId="3" borderId="100" xfId="0" applyFill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2" fillId="3" borderId="4" xfId="0" applyFont="1" applyFill="1" applyBorder="1" applyAlignment="1">
      <alignment horizontal="left" vertical="center" indent="1"/>
    </xf>
    <xf numFmtId="0" fontId="0" fillId="3" borderId="1" xfId="0" applyFill="1" applyBorder="1" applyAlignment="1">
      <alignment horizontal="left" vertical="center" indent="1"/>
    </xf>
    <xf numFmtId="0" fontId="2" fillId="3" borderId="5" xfId="0" applyFont="1" applyFill="1" applyBorder="1" applyAlignment="1">
      <alignment horizontal="left" vertical="center" indent="1"/>
    </xf>
    <xf numFmtId="0" fontId="0" fillId="3" borderId="2" xfId="0" applyFill="1" applyBorder="1" applyAlignment="1">
      <alignment horizontal="left" vertical="center" indent="1"/>
    </xf>
    <xf numFmtId="168" fontId="0" fillId="3" borderId="32" xfId="0" applyNumberFormat="1" applyFill="1" applyBorder="1" applyAlignment="1">
      <alignment horizontal="center" vertical="center"/>
    </xf>
    <xf numFmtId="168" fontId="0" fillId="3" borderId="54" xfId="0" applyNumberFormat="1" applyFill="1" applyBorder="1" applyAlignment="1">
      <alignment horizontal="center" vertical="center"/>
    </xf>
    <xf numFmtId="168" fontId="0" fillId="0" borderId="13" xfId="0" applyNumberFormat="1" applyBorder="1" applyAlignment="1">
      <alignment horizontal="center" vertical="center"/>
    </xf>
    <xf numFmtId="168" fontId="0" fillId="0" borderId="55" xfId="0" applyNumberFormat="1" applyBorder="1" applyAlignment="1">
      <alignment horizontal="center" vertical="center"/>
    </xf>
    <xf numFmtId="168" fontId="0" fillId="3" borderId="13" xfId="0" applyNumberFormat="1" applyFill="1" applyBorder="1" applyAlignment="1">
      <alignment horizontal="center" vertical="center"/>
    </xf>
    <xf numFmtId="168" fontId="0" fillId="3" borderId="55" xfId="0" applyNumberFormat="1" applyFill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168" fontId="0" fillId="3" borderId="52" xfId="0" applyNumberFormat="1" applyFill="1" applyBorder="1" applyAlignment="1">
      <alignment horizontal="center" vertical="center"/>
    </xf>
    <xf numFmtId="168" fontId="0" fillId="0" borderId="51" xfId="0" applyNumberFormat="1" applyBorder="1" applyAlignment="1">
      <alignment horizontal="center" vertical="center"/>
    </xf>
    <xf numFmtId="168" fontId="0" fillId="3" borderId="5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31" xfId="1" applyNumberFormat="1" applyFont="1" applyFill="1" applyBorder="1" applyAlignment="1">
      <alignment horizontal="center"/>
    </xf>
    <xf numFmtId="0" fontId="2" fillId="5" borderId="21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168" fontId="5" fillId="3" borderId="55" xfId="0" applyNumberFormat="1" applyFont="1" applyFill="1" applyBorder="1" applyAlignment="1">
      <alignment horizontal="left"/>
    </xf>
    <xf numFmtId="168" fontId="2" fillId="3" borderId="55" xfId="0" applyNumberFormat="1" applyFont="1" applyFill="1" applyBorder="1" applyAlignment="1">
      <alignment horizontal="left"/>
    </xf>
    <xf numFmtId="0" fontId="2" fillId="8" borderId="39" xfId="0" applyFont="1" applyFill="1" applyBorder="1" applyAlignment="1">
      <alignment horizontal="center" vertical="center" wrapText="1"/>
    </xf>
    <xf numFmtId="165" fontId="5" fillId="8" borderId="43" xfId="1" applyNumberFormat="1" applyFont="1" applyFill="1" applyBorder="1" applyAlignment="1">
      <alignment horizontal="center"/>
    </xf>
    <xf numFmtId="165" fontId="5" fillId="8" borderId="31" xfId="1" applyNumberFormat="1" applyFont="1" applyFill="1" applyBorder="1" applyAlignment="1">
      <alignment horizontal="center"/>
    </xf>
    <xf numFmtId="165" fontId="5" fillId="8" borderId="60" xfId="1" applyNumberFormat="1" applyFont="1" applyFill="1" applyBorder="1" applyAlignment="1">
      <alignment horizontal="center"/>
    </xf>
    <xf numFmtId="165" fontId="5" fillId="8" borderId="44" xfId="1" applyNumberFormat="1" applyFont="1" applyFill="1" applyBorder="1" applyAlignment="1">
      <alignment horizontal="center"/>
    </xf>
    <xf numFmtId="168" fontId="0" fillId="3" borderId="32" xfId="0" applyNumberFormat="1" applyFill="1" applyBorder="1" applyAlignment="1">
      <alignment horizontal="center"/>
    </xf>
    <xf numFmtId="170" fontId="0" fillId="2" borderId="45" xfId="1" applyNumberFormat="1" applyFont="1" applyFill="1" applyBorder="1" applyAlignment="1">
      <alignment horizontal="center"/>
    </xf>
    <xf numFmtId="170" fontId="0" fillId="3" borderId="32" xfId="1" applyNumberFormat="1" applyFont="1" applyFill="1" applyBorder="1" applyAlignment="1">
      <alignment horizontal="center"/>
    </xf>
    <xf numFmtId="3" fontId="0" fillId="3" borderId="32" xfId="1" applyNumberFormat="1" applyFont="1" applyFill="1" applyBorder="1" applyAlignment="1">
      <alignment horizontal="center"/>
    </xf>
    <xf numFmtId="3" fontId="0" fillId="3" borderId="48" xfId="1" applyNumberFormat="1" applyFont="1" applyFill="1" applyBorder="1" applyAlignment="1">
      <alignment horizontal="center"/>
    </xf>
    <xf numFmtId="1" fontId="0" fillId="3" borderId="43" xfId="1" applyNumberFormat="1" applyFont="1" applyFill="1" applyBorder="1" applyAlignment="1">
      <alignment horizontal="center"/>
    </xf>
    <xf numFmtId="168" fontId="0" fillId="3" borderId="32" xfId="1" applyNumberFormat="1" applyFont="1" applyFill="1" applyBorder="1" applyAlignment="1">
      <alignment horizontal="center"/>
    </xf>
    <xf numFmtId="170" fontId="0" fillId="2" borderId="46" xfId="1" applyNumberFormat="1" applyFont="1" applyFill="1" applyBorder="1" applyAlignment="1">
      <alignment horizontal="center"/>
    </xf>
    <xf numFmtId="170" fontId="0" fillId="0" borderId="13" xfId="1" applyNumberFormat="1" applyFont="1" applyFill="1" applyBorder="1" applyAlignment="1">
      <alignment horizontal="center"/>
    </xf>
    <xf numFmtId="3" fontId="0" fillId="0" borderId="13" xfId="1" applyNumberFormat="1" applyFont="1" applyFill="1" applyBorder="1" applyAlignment="1">
      <alignment horizontal="center"/>
    </xf>
    <xf numFmtId="3" fontId="0" fillId="0" borderId="49" xfId="1" applyNumberFormat="1" applyFont="1" applyFill="1" applyBorder="1" applyAlignment="1">
      <alignment horizontal="center"/>
    </xf>
    <xf numFmtId="168" fontId="0" fillId="3" borderId="13" xfId="0" applyNumberFormat="1" applyFill="1" applyBorder="1" applyAlignment="1">
      <alignment horizontal="center"/>
    </xf>
    <xf numFmtId="170" fontId="0" fillId="3" borderId="13" xfId="1" applyNumberFormat="1" applyFont="1" applyFill="1" applyBorder="1" applyAlignment="1">
      <alignment horizontal="center"/>
    </xf>
    <xf numFmtId="3" fontId="0" fillId="3" borderId="13" xfId="1" applyNumberFormat="1" applyFont="1" applyFill="1" applyBorder="1" applyAlignment="1">
      <alignment horizontal="center"/>
    </xf>
    <xf numFmtId="3" fontId="0" fillId="3" borderId="49" xfId="1" applyNumberFormat="1" applyFont="1" applyFill="1" applyBorder="1" applyAlignment="1">
      <alignment horizontal="center"/>
    </xf>
    <xf numFmtId="1" fontId="0" fillId="3" borderId="31" xfId="1" applyNumberFormat="1" applyFont="1" applyFill="1" applyBorder="1" applyAlignment="1">
      <alignment horizontal="center"/>
    </xf>
    <xf numFmtId="168" fontId="0" fillId="3" borderId="13" xfId="1" applyNumberFormat="1" applyFont="1" applyFill="1" applyBorder="1" applyAlignment="1">
      <alignment horizontal="center"/>
    </xf>
    <xf numFmtId="168" fontId="0" fillId="0" borderId="13" xfId="1" applyNumberFormat="1" applyFont="1" applyFill="1" applyBorder="1" applyAlignment="1">
      <alignment horizontal="center"/>
    </xf>
    <xf numFmtId="170" fontId="0" fillId="2" borderId="88" xfId="1" applyNumberFormat="1" applyFont="1" applyFill="1" applyBorder="1" applyAlignment="1">
      <alignment horizontal="center"/>
    </xf>
    <xf numFmtId="170" fontId="0" fillId="2" borderId="47" xfId="1" applyNumberFormat="1" applyFont="1" applyFill="1" applyBorder="1" applyAlignment="1">
      <alignment horizontal="center"/>
    </xf>
    <xf numFmtId="1" fontId="0" fillId="3" borderId="64" xfId="1" applyNumberFormat="1" applyFont="1" applyFill="1" applyBorder="1" applyAlignment="1">
      <alignment horizontal="center"/>
    </xf>
    <xf numFmtId="3" fontId="0" fillId="3" borderId="84" xfId="0" applyNumberFormat="1" applyFill="1" applyBorder="1" applyAlignment="1">
      <alignment horizontal="center"/>
    </xf>
    <xf numFmtId="168" fontId="5" fillId="0" borderId="55" xfId="0" applyNumberFormat="1" applyFont="1" applyBorder="1" applyAlignment="1">
      <alignment horizontal="left" indent="1"/>
    </xf>
    <xf numFmtId="168" fontId="5" fillId="3" borderId="55" xfId="0" applyNumberFormat="1" applyFont="1" applyFill="1" applyBorder="1" applyAlignment="1">
      <alignment horizontal="left" indent="1"/>
    </xf>
    <xf numFmtId="168" fontId="2" fillId="3" borderId="52" xfId="0" applyNumberFormat="1" applyFont="1" applyFill="1" applyBorder="1" applyAlignment="1">
      <alignment horizontal="left" indent="1"/>
    </xf>
    <xf numFmtId="168" fontId="2" fillId="0" borderId="51" xfId="0" applyNumberFormat="1" applyFont="1" applyBorder="1" applyAlignment="1">
      <alignment horizontal="left" indent="1"/>
    </xf>
    <xf numFmtId="168" fontId="2" fillId="3" borderId="51" xfId="0" applyNumberFormat="1" applyFont="1" applyFill="1" applyBorder="1" applyAlignment="1">
      <alignment horizontal="left" indent="1"/>
    </xf>
    <xf numFmtId="165" fontId="2" fillId="5" borderId="32" xfId="1" applyNumberFormat="1" applyFont="1" applyFill="1" applyBorder="1" applyAlignment="1">
      <alignment horizontal="center"/>
    </xf>
    <xf numFmtId="165" fontId="2" fillId="5" borderId="13" xfId="1" applyNumberFormat="1" applyFont="1" applyFill="1" applyBorder="1" applyAlignment="1">
      <alignment horizontal="center"/>
    </xf>
    <xf numFmtId="165" fontId="5" fillId="5" borderId="87" xfId="1" applyNumberFormat="1" applyFont="1" applyFill="1" applyBorder="1" applyAlignment="1">
      <alignment horizontal="center"/>
    </xf>
    <xf numFmtId="165" fontId="2" fillId="5" borderId="87" xfId="1" applyNumberFormat="1" applyFont="1" applyFill="1" applyBorder="1" applyAlignment="1">
      <alignment horizontal="center"/>
    </xf>
    <xf numFmtId="165" fontId="2" fillId="5" borderId="33" xfId="1" applyNumberFormat="1" applyFont="1" applyFill="1" applyBorder="1" applyAlignment="1">
      <alignment horizontal="center"/>
    </xf>
    <xf numFmtId="168" fontId="0" fillId="0" borderId="42" xfId="1" applyNumberFormat="1" applyFont="1" applyFill="1" applyBorder="1" applyAlignment="1">
      <alignment horizontal="center"/>
    </xf>
    <xf numFmtId="168" fontId="5" fillId="3" borderId="54" xfId="0" applyNumberFormat="1" applyFont="1" applyFill="1" applyBorder="1" applyAlignment="1">
      <alignment horizontal="left" indent="1"/>
    </xf>
    <xf numFmtId="168" fontId="0" fillId="3" borderId="42" xfId="1" applyNumberFormat="1" applyFont="1" applyFill="1" applyBorder="1" applyAlignment="1">
      <alignment horizontal="center"/>
    </xf>
    <xf numFmtId="165" fontId="5" fillId="5" borderId="32" xfId="1" applyNumberFormat="1" applyFont="1" applyFill="1" applyBorder="1" applyAlignment="1">
      <alignment horizontal="center"/>
    </xf>
    <xf numFmtId="1" fontId="2" fillId="5" borderId="32" xfId="0" applyNumberFormat="1" applyFont="1" applyFill="1" applyBorder="1" applyAlignment="1">
      <alignment horizontal="center"/>
    </xf>
    <xf numFmtId="165" fontId="5" fillId="5" borderId="13" xfId="1" applyNumberFormat="1" applyFont="1" applyFill="1" applyBorder="1" applyAlignment="1">
      <alignment horizontal="center"/>
    </xf>
    <xf numFmtId="1" fontId="2" fillId="5" borderId="13" xfId="0" applyNumberFormat="1" applyFont="1" applyFill="1" applyBorder="1" applyAlignment="1">
      <alignment horizontal="center"/>
    </xf>
    <xf numFmtId="1" fontId="2" fillId="5" borderId="87" xfId="0" applyNumberFormat="1" applyFont="1" applyFill="1" applyBorder="1" applyAlignment="1">
      <alignment horizontal="center"/>
    </xf>
    <xf numFmtId="165" fontId="5" fillId="5" borderId="33" xfId="1" applyNumberFormat="1" applyFont="1" applyFill="1" applyBorder="1" applyAlignment="1">
      <alignment horizontal="center"/>
    </xf>
    <xf numFmtId="1" fontId="2" fillId="5" borderId="33" xfId="0" applyNumberFormat="1" applyFont="1" applyFill="1" applyBorder="1" applyAlignment="1">
      <alignment horizontal="center"/>
    </xf>
    <xf numFmtId="41" fontId="0" fillId="3" borderId="32" xfId="1" applyNumberFormat="1" applyFont="1" applyFill="1" applyBorder="1" applyAlignment="1">
      <alignment horizontal="center"/>
    </xf>
    <xf numFmtId="168" fontId="5" fillId="3" borderId="54" xfId="0" applyNumberFormat="1" applyFont="1" applyFill="1" applyBorder="1" applyAlignment="1">
      <alignment horizontal="left"/>
    </xf>
    <xf numFmtId="168" fontId="2" fillId="3" borderId="54" xfId="0" applyNumberFormat="1" applyFont="1" applyFill="1" applyBorder="1" applyAlignment="1">
      <alignment horizontal="left"/>
    </xf>
    <xf numFmtId="0" fontId="2" fillId="0" borderId="10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6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0" fillId="3" borderId="40" xfId="0" applyFill="1" applyBorder="1" applyAlignment="1">
      <alignment horizontal="left" vertical="center" indent="1"/>
    </xf>
    <xf numFmtId="0" fontId="0" fillId="0" borderId="4" xfId="0" applyBorder="1" applyAlignment="1">
      <alignment horizontal="left" vertical="center" indent="1"/>
    </xf>
    <xf numFmtId="0" fontId="0" fillId="3" borderId="4" xfId="0" applyFill="1" applyBorder="1" applyAlignment="1">
      <alignment horizontal="left" vertical="center" indent="1"/>
    </xf>
    <xf numFmtId="0" fontId="0" fillId="3" borderId="5" xfId="0" applyFill="1" applyBorder="1" applyAlignment="1">
      <alignment horizontal="left" vertical="center" indent="1"/>
    </xf>
    <xf numFmtId="9" fontId="2" fillId="0" borderId="0" xfId="2" applyFont="1" applyAlignment="1">
      <alignment horizontal="center"/>
    </xf>
    <xf numFmtId="9" fontId="2" fillId="0" borderId="0" xfId="0" applyNumberFormat="1" applyFont="1" applyAlignment="1">
      <alignment horizontal="center"/>
    </xf>
    <xf numFmtId="1" fontId="0" fillId="3" borderId="108" xfId="0" applyNumberFormat="1" applyFill="1" applyBorder="1" applyAlignment="1">
      <alignment horizontal="left" vertical="center" indent="1"/>
    </xf>
    <xf numFmtId="0" fontId="0" fillId="0" borderId="109" xfId="0" applyBorder="1" applyAlignment="1">
      <alignment horizontal="left" vertical="center" indent="1"/>
    </xf>
    <xf numFmtId="0" fontId="0" fillId="3" borderId="109" xfId="0" applyFill="1" applyBorder="1" applyAlignment="1">
      <alignment horizontal="left" vertical="center" indent="1"/>
    </xf>
    <xf numFmtId="168" fontId="2" fillId="3" borderId="52" xfId="0" applyNumberFormat="1" applyFont="1" applyFill="1" applyBorder="1" applyAlignment="1">
      <alignment horizontal="center" vertical="center"/>
    </xf>
    <xf numFmtId="168" fontId="2" fillId="3" borderId="54" xfId="0" applyNumberFormat="1" applyFont="1" applyFill="1" applyBorder="1" applyAlignment="1">
      <alignment horizontal="center" vertical="center"/>
    </xf>
    <xf numFmtId="168" fontId="2" fillId="0" borderId="51" xfId="0" applyNumberFormat="1" applyFont="1" applyBorder="1" applyAlignment="1">
      <alignment horizontal="center" vertical="center"/>
    </xf>
    <xf numFmtId="168" fontId="2" fillId="0" borderId="55" xfId="0" applyNumberFormat="1" applyFont="1" applyBorder="1" applyAlignment="1">
      <alignment horizontal="center" vertical="center"/>
    </xf>
    <xf numFmtId="168" fontId="2" fillId="3" borderId="51" xfId="0" applyNumberFormat="1" applyFont="1" applyFill="1" applyBorder="1" applyAlignment="1">
      <alignment horizontal="center" vertical="center"/>
    </xf>
    <xf numFmtId="168" fontId="2" fillId="3" borderId="55" xfId="0" applyNumberFormat="1" applyFont="1" applyFill="1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 wrapText="1"/>
    </xf>
    <xf numFmtId="0" fontId="2" fillId="10" borderId="14" xfId="0" applyFont="1" applyFill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171" fontId="0" fillId="0" borderId="0" xfId="0" applyNumberFormat="1" applyAlignment="1">
      <alignment horizontal="right"/>
    </xf>
    <xf numFmtId="168" fontId="0" fillId="0" borderId="42" xfId="0" applyNumberFormat="1" applyBorder="1" applyAlignment="1">
      <alignment horizontal="center"/>
    </xf>
    <xf numFmtId="37" fontId="0" fillId="3" borderId="89" xfId="1" applyNumberFormat="1" applyFont="1" applyFill="1" applyBorder="1" applyAlignment="1">
      <alignment horizontal="center"/>
    </xf>
    <xf numFmtId="1" fontId="2" fillId="0" borderId="0" xfId="0" applyNumberFormat="1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35" xfId="0" applyBorder="1" applyAlignment="1" applyProtection="1">
      <alignment horizontal="center" vertical="center" wrapText="1"/>
      <protection locked="0"/>
    </xf>
    <xf numFmtId="1" fontId="0" fillId="3" borderId="67" xfId="0" applyNumberFormat="1" applyFill="1" applyBorder="1" applyAlignment="1" applyProtection="1">
      <alignment horizontal="center"/>
      <protection locked="0"/>
    </xf>
    <xf numFmtId="1" fontId="0" fillId="0" borderId="70" xfId="0" applyNumberFormat="1" applyBorder="1" applyAlignment="1" applyProtection="1">
      <alignment horizontal="center"/>
      <protection locked="0"/>
    </xf>
    <xf numFmtId="1" fontId="0" fillId="3" borderId="70" xfId="0" applyNumberFormat="1" applyFill="1" applyBorder="1" applyAlignment="1" applyProtection="1">
      <alignment horizontal="center"/>
      <protection locked="0"/>
    </xf>
    <xf numFmtId="1" fontId="0" fillId="3" borderId="93" xfId="0" applyNumberFormat="1" applyFill="1" applyBorder="1" applyAlignment="1" applyProtection="1">
      <alignment horizontal="center"/>
      <protection locked="0"/>
    </xf>
    <xf numFmtId="0" fontId="0" fillId="0" borderId="114" xfId="0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49" fontId="0" fillId="0" borderId="12" xfId="0" applyNumberFormat="1" applyBorder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164" fontId="0" fillId="0" borderId="27" xfId="0" applyNumberFormat="1" applyBorder="1" applyAlignment="1" applyProtection="1">
      <alignment horizontal="center" vertical="center" wrapText="1"/>
      <protection locked="0"/>
    </xf>
    <xf numFmtId="164" fontId="0" fillId="0" borderId="23" xfId="0" applyNumberFormat="1" applyBorder="1" applyAlignment="1" applyProtection="1">
      <alignment horizontal="center" vertical="center" wrapText="1"/>
      <protection locked="0"/>
    </xf>
    <xf numFmtId="164" fontId="0" fillId="0" borderId="28" xfId="0" applyNumberFormat="1" applyBorder="1" applyAlignment="1" applyProtection="1">
      <alignment horizontal="center" vertical="center" wrapText="1"/>
      <protection locked="0"/>
    </xf>
    <xf numFmtId="164" fontId="0" fillId="0" borderId="103" xfId="0" applyNumberFormat="1" applyBorder="1" applyAlignment="1" applyProtection="1">
      <alignment horizontal="center" vertical="center" wrapText="1"/>
      <protection locked="0"/>
    </xf>
    <xf numFmtId="164" fontId="0" fillId="0" borderId="39" xfId="0" applyNumberFormat="1" applyBorder="1" applyAlignment="1" applyProtection="1">
      <alignment horizontal="center" vertical="center" wrapText="1"/>
      <protection locked="0"/>
    </xf>
    <xf numFmtId="164" fontId="0" fillId="0" borderId="20" xfId="0" applyNumberFormat="1" applyBorder="1" applyAlignment="1" applyProtection="1">
      <alignment horizontal="center" vertical="center" wrapText="1"/>
      <protection locked="0"/>
    </xf>
    <xf numFmtId="164" fontId="0" fillId="0" borderId="21" xfId="0" applyNumberFormat="1" applyBorder="1" applyAlignment="1" applyProtection="1">
      <alignment horizontal="center" vertical="center" wrapText="1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165" fontId="2" fillId="3" borderId="65" xfId="0" applyNumberFormat="1" applyFont="1" applyFill="1" applyBorder="1" applyAlignment="1" applyProtection="1">
      <alignment horizontal="center"/>
      <protection locked="0"/>
    </xf>
    <xf numFmtId="165" fontId="2" fillId="3" borderId="66" xfId="0" applyNumberFormat="1" applyFont="1" applyFill="1" applyBorder="1" applyAlignment="1" applyProtection="1">
      <alignment horizontal="center"/>
      <protection locked="0"/>
    </xf>
    <xf numFmtId="165" fontId="2" fillId="3" borderId="67" xfId="0" applyNumberFormat="1" applyFont="1" applyFill="1" applyBorder="1" applyAlignment="1" applyProtection="1">
      <alignment horizontal="center"/>
      <protection locked="0"/>
    </xf>
    <xf numFmtId="165" fontId="2" fillId="3" borderId="71" xfId="0" applyNumberFormat="1" applyFont="1" applyFill="1" applyBorder="1" applyAlignment="1" applyProtection="1">
      <alignment horizontal="center"/>
      <protection locked="0"/>
    </xf>
    <xf numFmtId="165" fontId="2" fillId="3" borderId="72" xfId="0" applyNumberFormat="1" applyFont="1" applyFill="1" applyBorder="1" applyAlignment="1" applyProtection="1">
      <alignment horizontal="center"/>
      <protection locked="0"/>
    </xf>
    <xf numFmtId="0" fontId="2" fillId="3" borderId="40" xfId="0" applyFont="1" applyFill="1" applyBorder="1" applyProtection="1">
      <protection locked="0"/>
    </xf>
    <xf numFmtId="168" fontId="0" fillId="3" borderId="17" xfId="0" applyNumberFormat="1" applyFill="1" applyBorder="1" applyAlignment="1" applyProtection="1">
      <alignment horizontal="center"/>
      <protection locked="0"/>
    </xf>
    <xf numFmtId="165" fontId="0" fillId="3" borderId="81" xfId="1" applyNumberFormat="1" applyFont="1" applyFill="1" applyBorder="1" applyAlignment="1" applyProtection="1">
      <alignment horizontal="right"/>
      <protection locked="0"/>
    </xf>
    <xf numFmtId="165" fontId="0" fillId="3" borderId="15" xfId="1" applyNumberFormat="1" applyFont="1" applyFill="1" applyBorder="1" applyAlignment="1" applyProtection="1">
      <alignment horizontal="right"/>
      <protection locked="0"/>
    </xf>
    <xf numFmtId="37" fontId="0" fillId="3" borderId="18" xfId="1" applyNumberFormat="1" applyFont="1" applyFill="1" applyBorder="1" applyAlignment="1" applyProtection="1">
      <alignment horizontal="right"/>
      <protection locked="0"/>
    </xf>
    <xf numFmtId="165" fontId="0" fillId="3" borderId="52" xfId="1" applyNumberFormat="1" applyFont="1" applyFill="1" applyBorder="1" applyAlignment="1" applyProtection="1">
      <alignment horizontal="right"/>
      <protection locked="0"/>
    </xf>
    <xf numFmtId="165" fontId="0" fillId="3" borderId="32" xfId="1" applyNumberFormat="1" applyFont="1" applyFill="1" applyBorder="1" applyAlignment="1" applyProtection="1">
      <alignment horizontal="right"/>
      <protection locked="0"/>
    </xf>
    <xf numFmtId="37" fontId="0" fillId="3" borderId="32" xfId="1" applyNumberFormat="1" applyFont="1" applyFill="1" applyBorder="1" applyAlignment="1" applyProtection="1">
      <alignment horizontal="right"/>
      <protection locked="0"/>
    </xf>
    <xf numFmtId="165" fontId="0" fillId="3" borderId="104" xfId="1" applyNumberFormat="1" applyFont="1" applyFill="1" applyBorder="1" applyAlignment="1" applyProtection="1">
      <alignment horizontal="right"/>
      <protection locked="0"/>
    </xf>
    <xf numFmtId="165" fontId="0" fillId="3" borderId="42" xfId="1" applyNumberFormat="1" applyFont="1" applyFill="1" applyBorder="1" applyAlignment="1" applyProtection="1">
      <alignment horizontal="right"/>
      <protection locked="0"/>
    </xf>
    <xf numFmtId="37" fontId="0" fillId="3" borderId="42" xfId="1" applyNumberFormat="1" applyFont="1" applyFill="1" applyBorder="1" applyAlignment="1" applyProtection="1">
      <alignment horizontal="right"/>
      <protection locked="0"/>
    </xf>
    <xf numFmtId="37" fontId="0" fillId="3" borderId="104" xfId="1" applyNumberFormat="1" applyFont="1" applyFill="1" applyBorder="1" applyAlignment="1" applyProtection="1">
      <alignment horizontal="right"/>
      <protection locked="0"/>
    </xf>
    <xf numFmtId="1" fontId="0" fillId="3" borderId="42" xfId="1" applyNumberFormat="1" applyFont="1" applyFill="1" applyBorder="1" applyAlignment="1" applyProtection="1">
      <alignment horizontal="right"/>
      <protection locked="0"/>
    </xf>
    <xf numFmtId="41" fontId="0" fillId="3" borderId="104" xfId="1" applyNumberFormat="1" applyFont="1" applyFill="1" applyBorder="1" applyAlignment="1" applyProtection="1">
      <alignment horizontal="right"/>
      <protection locked="0"/>
    </xf>
    <xf numFmtId="1" fontId="0" fillId="3" borderId="104" xfId="1" applyNumberFormat="1" applyFont="1" applyFill="1" applyBorder="1" applyAlignment="1" applyProtection="1">
      <alignment horizontal="right"/>
      <protection locked="0"/>
    </xf>
    <xf numFmtId="0" fontId="2" fillId="3" borderId="74" xfId="0" applyFont="1" applyFill="1" applyBorder="1" applyProtection="1">
      <protection locked="0"/>
    </xf>
    <xf numFmtId="1" fontId="2" fillId="5" borderId="32" xfId="0" applyNumberFormat="1" applyFont="1" applyFill="1" applyBorder="1" applyAlignment="1" applyProtection="1">
      <alignment horizontal="center"/>
      <protection locked="0"/>
    </xf>
    <xf numFmtId="1" fontId="2" fillId="5" borderId="105" xfId="0" applyNumberFormat="1" applyFont="1" applyFill="1" applyBorder="1" applyAlignment="1" applyProtection="1">
      <alignment horizontal="center"/>
      <protection locked="0"/>
    </xf>
    <xf numFmtId="165" fontId="2" fillId="0" borderId="68" xfId="0" applyNumberFormat="1" applyFont="1" applyBorder="1" applyAlignment="1" applyProtection="1">
      <alignment horizontal="center"/>
      <protection locked="0"/>
    </xf>
    <xf numFmtId="165" fontId="2" fillId="0" borderId="69" xfId="0" applyNumberFormat="1" applyFont="1" applyBorder="1" applyAlignment="1" applyProtection="1">
      <alignment horizontal="center"/>
      <protection locked="0"/>
    </xf>
    <xf numFmtId="165" fontId="2" fillId="0" borderId="70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Protection="1">
      <protection locked="0"/>
    </xf>
    <xf numFmtId="168" fontId="0" fillId="0" borderId="10" xfId="0" applyNumberFormat="1" applyBorder="1" applyAlignment="1" applyProtection="1">
      <alignment horizontal="center"/>
      <protection locked="0"/>
    </xf>
    <xf numFmtId="168" fontId="0" fillId="0" borderId="6" xfId="0" applyNumberFormat="1" applyBorder="1" applyAlignment="1" applyProtection="1">
      <alignment horizontal="center"/>
      <protection locked="0"/>
    </xf>
    <xf numFmtId="165" fontId="0" fillId="0" borderId="82" xfId="1" applyNumberFormat="1" applyFont="1" applyFill="1" applyBorder="1" applyAlignment="1" applyProtection="1">
      <alignment horizontal="right"/>
      <protection locked="0"/>
    </xf>
    <xf numFmtId="165" fontId="0" fillId="0" borderId="1" xfId="1" applyNumberFormat="1" applyFont="1" applyFill="1" applyBorder="1" applyAlignment="1" applyProtection="1">
      <alignment horizontal="right"/>
      <protection locked="0"/>
    </xf>
    <xf numFmtId="37" fontId="0" fillId="0" borderId="3" xfId="1" applyNumberFormat="1" applyFont="1" applyFill="1" applyBorder="1" applyAlignment="1" applyProtection="1">
      <alignment horizontal="right"/>
      <protection locked="0"/>
    </xf>
    <xf numFmtId="165" fontId="0" fillId="0" borderId="51" xfId="1" applyNumberFormat="1" applyFont="1" applyFill="1" applyBorder="1" applyAlignment="1" applyProtection="1">
      <alignment horizontal="right"/>
      <protection locked="0"/>
    </xf>
    <xf numFmtId="165" fontId="0" fillId="0" borderId="13" xfId="1" applyNumberFormat="1" applyFont="1" applyFill="1" applyBorder="1" applyAlignment="1" applyProtection="1">
      <alignment horizontal="right"/>
      <protection locked="0"/>
    </xf>
    <xf numFmtId="37" fontId="0" fillId="0" borderId="13" xfId="1" applyNumberFormat="1" applyFont="1" applyFill="1" applyBorder="1" applyAlignment="1" applyProtection="1">
      <alignment horizontal="right"/>
      <protection locked="0"/>
    </xf>
    <xf numFmtId="37" fontId="0" fillId="0" borderId="51" xfId="1" applyNumberFormat="1" applyFont="1" applyFill="1" applyBorder="1" applyAlignment="1" applyProtection="1">
      <alignment horizontal="right"/>
      <protection locked="0"/>
    </xf>
    <xf numFmtId="1" fontId="0" fillId="0" borderId="13" xfId="1" applyNumberFormat="1" applyFont="1" applyFill="1" applyBorder="1" applyAlignment="1" applyProtection="1">
      <alignment horizontal="right"/>
      <protection locked="0"/>
    </xf>
    <xf numFmtId="41" fontId="0" fillId="0" borderId="51" xfId="1" applyNumberFormat="1" applyFont="1" applyFill="1" applyBorder="1" applyAlignment="1" applyProtection="1">
      <alignment horizontal="right"/>
      <protection locked="0"/>
    </xf>
    <xf numFmtId="1" fontId="0" fillId="0" borderId="51" xfId="1" applyNumberFormat="1" applyFont="1" applyFill="1" applyBorder="1" applyAlignment="1" applyProtection="1">
      <alignment horizontal="right"/>
      <protection locked="0"/>
    </xf>
    <xf numFmtId="0" fontId="2" fillId="0" borderId="8" xfId="0" applyFont="1" applyBorder="1" applyProtection="1">
      <protection locked="0"/>
    </xf>
    <xf numFmtId="1" fontId="2" fillId="5" borderId="13" xfId="0" applyNumberFormat="1" applyFont="1" applyFill="1" applyBorder="1" applyAlignment="1" applyProtection="1">
      <alignment horizontal="center"/>
      <protection locked="0"/>
    </xf>
    <xf numFmtId="1" fontId="2" fillId="5" borderId="106" xfId="0" applyNumberFormat="1" applyFont="1" applyFill="1" applyBorder="1" applyAlignment="1" applyProtection="1">
      <alignment horizontal="center"/>
      <protection locked="0"/>
    </xf>
    <xf numFmtId="165" fontId="2" fillId="3" borderId="68" xfId="0" applyNumberFormat="1" applyFont="1" applyFill="1" applyBorder="1" applyAlignment="1" applyProtection="1">
      <alignment horizontal="center"/>
      <protection locked="0"/>
    </xf>
    <xf numFmtId="165" fontId="2" fillId="3" borderId="69" xfId="0" applyNumberFormat="1" applyFont="1" applyFill="1" applyBorder="1" applyAlignment="1" applyProtection="1">
      <alignment horizontal="center"/>
      <protection locked="0"/>
    </xf>
    <xf numFmtId="165" fontId="2" fillId="3" borderId="70" xfId="0" applyNumberFormat="1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Protection="1">
      <protection locked="0"/>
    </xf>
    <xf numFmtId="168" fontId="0" fillId="3" borderId="6" xfId="0" applyNumberFormat="1" applyFill="1" applyBorder="1" applyAlignment="1" applyProtection="1">
      <alignment horizontal="center"/>
      <protection locked="0"/>
    </xf>
    <xf numFmtId="165" fontId="0" fillId="3" borderId="82" xfId="1" applyNumberFormat="1" applyFont="1" applyFill="1" applyBorder="1" applyAlignment="1" applyProtection="1">
      <alignment horizontal="right"/>
      <protection locked="0"/>
    </xf>
    <xf numFmtId="165" fontId="0" fillId="3" borderId="1" xfId="1" applyNumberFormat="1" applyFont="1" applyFill="1" applyBorder="1" applyAlignment="1" applyProtection="1">
      <alignment horizontal="right"/>
      <protection locked="0"/>
    </xf>
    <xf numFmtId="37" fontId="0" fillId="3" borderId="3" xfId="1" applyNumberFormat="1" applyFont="1" applyFill="1" applyBorder="1" applyAlignment="1" applyProtection="1">
      <alignment horizontal="right"/>
      <protection locked="0"/>
    </xf>
    <xf numFmtId="165" fontId="0" fillId="3" borderId="51" xfId="1" applyNumberFormat="1" applyFont="1" applyFill="1" applyBorder="1" applyAlignment="1" applyProtection="1">
      <alignment horizontal="right"/>
      <protection locked="0"/>
    </xf>
    <xf numFmtId="165" fontId="0" fillId="3" borderId="13" xfId="1" applyNumberFormat="1" applyFont="1" applyFill="1" applyBorder="1" applyAlignment="1" applyProtection="1">
      <alignment horizontal="right"/>
      <protection locked="0"/>
    </xf>
    <xf numFmtId="37" fontId="0" fillId="3" borderId="13" xfId="1" applyNumberFormat="1" applyFont="1" applyFill="1" applyBorder="1" applyAlignment="1" applyProtection="1">
      <alignment horizontal="right"/>
      <protection locked="0"/>
    </xf>
    <xf numFmtId="37" fontId="0" fillId="3" borderId="51" xfId="1" applyNumberFormat="1" applyFont="1" applyFill="1" applyBorder="1" applyAlignment="1" applyProtection="1">
      <alignment horizontal="right"/>
      <protection locked="0"/>
    </xf>
    <xf numFmtId="1" fontId="0" fillId="3" borderId="13" xfId="1" applyNumberFormat="1" applyFont="1" applyFill="1" applyBorder="1" applyAlignment="1" applyProtection="1">
      <alignment horizontal="right"/>
      <protection locked="0"/>
    </xf>
    <xf numFmtId="41" fontId="0" fillId="3" borderId="51" xfId="1" applyNumberFormat="1" applyFont="1" applyFill="1" applyBorder="1" applyAlignment="1" applyProtection="1">
      <alignment horizontal="right"/>
      <protection locked="0"/>
    </xf>
    <xf numFmtId="1" fontId="0" fillId="3" borderId="51" xfId="1" applyNumberFormat="1" applyFont="1" applyFill="1" applyBorder="1" applyAlignment="1" applyProtection="1">
      <alignment horizontal="right"/>
      <protection locked="0"/>
    </xf>
    <xf numFmtId="0" fontId="2" fillId="3" borderId="8" xfId="0" applyFont="1" applyFill="1" applyBorder="1" applyProtection="1">
      <protection locked="0"/>
    </xf>
    <xf numFmtId="165" fontId="4" fillId="0" borderId="1" xfId="1" applyNumberFormat="1" applyFont="1" applyFill="1" applyBorder="1" applyAlignment="1" applyProtection="1">
      <alignment horizontal="right"/>
      <protection locked="0"/>
    </xf>
    <xf numFmtId="168" fontId="0" fillId="3" borderId="10" xfId="0" applyNumberFormat="1" applyFill="1" applyBorder="1" applyAlignment="1" applyProtection="1">
      <alignment horizontal="center"/>
      <protection locked="0"/>
    </xf>
    <xf numFmtId="1" fontId="2" fillId="0" borderId="9" xfId="0" applyNumberFormat="1" applyFont="1" applyBorder="1" applyAlignment="1" applyProtection="1">
      <alignment horizontal="center"/>
      <protection locked="0"/>
    </xf>
    <xf numFmtId="0" fontId="2" fillId="0" borderId="5" xfId="0" applyFont="1" applyBorder="1" applyProtection="1">
      <protection locked="0"/>
    </xf>
    <xf numFmtId="168" fontId="0" fillId="0" borderId="11" xfId="0" applyNumberFormat="1" applyBorder="1" applyAlignment="1" applyProtection="1">
      <alignment horizontal="center"/>
      <protection locked="0"/>
    </xf>
    <xf numFmtId="168" fontId="0" fillId="0" borderId="7" xfId="0" applyNumberFormat="1" applyBorder="1" applyAlignment="1" applyProtection="1">
      <alignment horizontal="center"/>
      <protection locked="0"/>
    </xf>
    <xf numFmtId="0" fontId="2" fillId="0" borderId="75" xfId="0" applyFont="1" applyBorder="1" applyProtection="1">
      <protection locked="0"/>
    </xf>
    <xf numFmtId="165" fontId="2" fillId="3" borderId="91" xfId="0" applyNumberFormat="1" applyFont="1" applyFill="1" applyBorder="1" applyAlignment="1" applyProtection="1">
      <alignment horizontal="center"/>
      <protection locked="0"/>
    </xf>
    <xf numFmtId="165" fontId="2" fillId="3" borderId="92" xfId="0" applyNumberFormat="1" applyFont="1" applyFill="1" applyBorder="1" applyAlignment="1" applyProtection="1">
      <alignment horizontal="center"/>
      <protection locked="0"/>
    </xf>
    <xf numFmtId="165" fontId="2" fillId="3" borderId="93" xfId="0" applyNumberFormat="1" applyFont="1" applyFill="1" applyBorder="1" applyAlignment="1" applyProtection="1">
      <alignment horizontal="center"/>
      <protection locked="0"/>
    </xf>
    <xf numFmtId="0" fontId="2" fillId="3" borderId="5" xfId="0" applyFont="1" applyFill="1" applyBorder="1" applyProtection="1">
      <protection locked="0"/>
    </xf>
    <xf numFmtId="165" fontId="0" fillId="3" borderId="95" xfId="1" applyNumberFormat="1" applyFont="1" applyFill="1" applyBorder="1" applyAlignment="1" applyProtection="1">
      <alignment horizontal="right"/>
      <protection locked="0"/>
    </xf>
    <xf numFmtId="165" fontId="0" fillId="3" borderId="2" xfId="1" applyNumberFormat="1" applyFont="1" applyFill="1" applyBorder="1" applyAlignment="1" applyProtection="1">
      <alignment horizontal="right"/>
      <protection locked="0"/>
    </xf>
    <xf numFmtId="37" fontId="0" fillId="3" borderId="73" xfId="1" applyNumberFormat="1" applyFont="1" applyFill="1" applyBorder="1" applyAlignment="1" applyProtection="1">
      <alignment horizontal="right"/>
      <protection locked="0"/>
    </xf>
    <xf numFmtId="43" fontId="0" fillId="3" borderId="13" xfId="1" applyFont="1" applyFill="1" applyBorder="1" applyAlignment="1" applyProtection="1">
      <alignment horizontal="right"/>
      <protection locked="0"/>
    </xf>
    <xf numFmtId="0" fontId="2" fillId="3" borderId="75" xfId="0" applyFont="1" applyFill="1" applyBorder="1" applyProtection="1">
      <protection locked="0"/>
    </xf>
    <xf numFmtId="165" fontId="2" fillId="0" borderId="112" xfId="0" applyNumberFormat="1" applyFont="1" applyBorder="1" applyAlignment="1" applyProtection="1">
      <alignment horizontal="center"/>
      <protection locked="0"/>
    </xf>
    <xf numFmtId="165" fontId="2" fillId="0" borderId="113" xfId="0" applyNumberFormat="1" applyFont="1" applyBorder="1" applyAlignment="1" applyProtection="1">
      <alignment horizontal="center"/>
      <protection locked="0"/>
    </xf>
    <xf numFmtId="165" fontId="2" fillId="0" borderId="114" xfId="0" applyNumberFormat="1" applyFont="1" applyBorder="1" applyAlignment="1" applyProtection="1">
      <alignment horizontal="center"/>
      <protection locked="0"/>
    </xf>
    <xf numFmtId="0" fontId="2" fillId="0" borderId="115" xfId="0" applyFont="1" applyBorder="1" applyProtection="1">
      <protection locked="0"/>
    </xf>
    <xf numFmtId="168" fontId="0" fillId="0" borderId="96" xfId="0" applyNumberFormat="1" applyBorder="1" applyAlignment="1" applyProtection="1">
      <alignment horizontal="center"/>
      <protection locked="0"/>
    </xf>
    <xf numFmtId="165" fontId="0" fillId="0" borderId="53" xfId="1" applyNumberFormat="1" applyFont="1" applyFill="1" applyBorder="1" applyAlignment="1" applyProtection="1">
      <alignment horizontal="right"/>
      <protection locked="0"/>
    </xf>
    <xf numFmtId="165" fontId="0" fillId="0" borderId="50" xfId="1" applyNumberFormat="1" applyFont="1" applyFill="1" applyBorder="1" applyAlignment="1" applyProtection="1">
      <alignment horizontal="right"/>
      <protection locked="0"/>
    </xf>
    <xf numFmtId="37" fontId="0" fillId="0" borderId="97" xfId="1" applyNumberFormat="1" applyFont="1" applyFill="1" applyBorder="1" applyAlignment="1" applyProtection="1">
      <alignment horizontal="right"/>
      <protection locked="0"/>
    </xf>
    <xf numFmtId="165" fontId="0" fillId="0" borderId="33" xfId="1" applyNumberFormat="1" applyFont="1" applyFill="1" applyBorder="1" applyAlignment="1" applyProtection="1">
      <alignment horizontal="right"/>
      <protection locked="0"/>
    </xf>
    <xf numFmtId="37" fontId="0" fillId="0" borderId="33" xfId="1" applyNumberFormat="1" applyFont="1" applyFill="1" applyBorder="1" applyAlignment="1" applyProtection="1">
      <alignment horizontal="right"/>
      <protection locked="0"/>
    </xf>
    <xf numFmtId="37" fontId="0" fillId="0" borderId="53" xfId="1" applyNumberFormat="1" applyFont="1" applyFill="1" applyBorder="1" applyAlignment="1" applyProtection="1">
      <alignment horizontal="right"/>
      <protection locked="0"/>
    </xf>
    <xf numFmtId="1" fontId="0" fillId="0" borderId="33" xfId="1" applyNumberFormat="1" applyFont="1" applyFill="1" applyBorder="1" applyAlignment="1" applyProtection="1">
      <alignment horizontal="right"/>
      <protection locked="0"/>
    </xf>
    <xf numFmtId="41" fontId="0" fillId="0" borderId="53" xfId="1" applyNumberFormat="1" applyFont="1" applyFill="1" applyBorder="1" applyAlignment="1" applyProtection="1">
      <alignment horizontal="right"/>
      <protection locked="0"/>
    </xf>
    <xf numFmtId="1" fontId="0" fillId="0" borderId="53" xfId="1" applyNumberFormat="1" applyFont="1" applyFill="1" applyBorder="1" applyAlignment="1" applyProtection="1">
      <alignment horizontal="right"/>
      <protection locked="0"/>
    </xf>
    <xf numFmtId="0" fontId="2" fillId="0" borderId="98" xfId="0" applyFont="1" applyBorder="1" applyProtection="1">
      <protection locked="0"/>
    </xf>
    <xf numFmtId="1" fontId="2" fillId="5" borderId="33" xfId="0" applyNumberFormat="1" applyFont="1" applyFill="1" applyBorder="1" applyAlignment="1" applyProtection="1">
      <alignment horizontal="center"/>
      <protection locked="0"/>
    </xf>
    <xf numFmtId="1" fontId="2" fillId="5" borderId="107" xfId="0" applyNumberFormat="1" applyFont="1" applyFill="1" applyBorder="1" applyAlignment="1" applyProtection="1">
      <alignment horizontal="center"/>
      <protection locked="0"/>
    </xf>
    <xf numFmtId="168" fontId="0" fillId="0" borderId="0" xfId="0" applyNumberFormat="1" applyAlignment="1" applyProtection="1">
      <alignment horizontal="center"/>
      <protection locked="0"/>
    </xf>
    <xf numFmtId="165" fontId="0" fillId="0" borderId="0" xfId="1" applyNumberFormat="1" applyFont="1" applyFill="1" applyBorder="1" applyAlignment="1" applyProtection="1">
      <alignment horizontal="center"/>
      <protection locked="0"/>
    </xf>
    <xf numFmtId="37" fontId="0" fillId="0" borderId="0" xfId="1" applyNumberFormat="1" applyFont="1" applyFill="1" applyBorder="1" applyAlignment="1" applyProtection="1">
      <alignment horizontal="center"/>
      <protection locked="0"/>
    </xf>
    <xf numFmtId="37" fontId="0" fillId="0" borderId="0" xfId="1" applyNumberFormat="1" applyFont="1" applyFill="1" applyBorder="1" applyAlignment="1" applyProtection="1">
      <alignment horizontal="right"/>
      <protection locked="0"/>
    </xf>
    <xf numFmtId="1" fontId="0" fillId="0" borderId="0" xfId="1" applyNumberFormat="1" applyFont="1" applyFill="1" applyBorder="1" applyAlignment="1" applyProtection="1">
      <alignment horizontal="center"/>
      <protection locked="0"/>
    </xf>
    <xf numFmtId="41" fontId="0" fillId="0" borderId="0" xfId="1" applyNumberFormat="1" applyFont="1" applyFill="1" applyBorder="1" applyAlignment="1" applyProtection="1">
      <alignment horizontal="center"/>
      <protection locked="0"/>
    </xf>
    <xf numFmtId="43" fontId="0" fillId="0" borderId="0" xfId="1" applyFont="1" applyFill="1" applyBorder="1" applyAlignment="1" applyProtection="1">
      <alignment horizontal="center"/>
      <protection locked="0"/>
    </xf>
    <xf numFmtId="165" fontId="0" fillId="0" borderId="0" xfId="1" applyNumberFormat="1" applyFont="1" applyFill="1" applyBorder="1" applyAlignment="1" applyProtection="1">
      <protection locked="0"/>
    </xf>
    <xf numFmtId="167" fontId="0" fillId="0" borderId="0" xfId="1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37" fontId="2" fillId="0" borderId="0" xfId="0" applyNumberFormat="1" applyFont="1" applyAlignment="1" applyProtection="1">
      <alignment horizontal="right"/>
      <protection locked="0"/>
    </xf>
    <xf numFmtId="168" fontId="2" fillId="0" borderId="0" xfId="0" applyNumberFormat="1" applyFont="1" applyAlignment="1" applyProtection="1">
      <alignment horizontal="center"/>
      <protection locked="0"/>
    </xf>
    <xf numFmtId="168" fontId="2" fillId="0" borderId="0" xfId="0" applyNumberFormat="1" applyFont="1" applyAlignment="1" applyProtection="1">
      <alignment horizontal="right"/>
      <protection locked="0"/>
    </xf>
    <xf numFmtId="37" fontId="0" fillId="0" borderId="3" xfId="1" applyNumberFormat="1" applyFont="1" applyFill="1" applyBorder="1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2" fillId="0" borderId="23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10" borderId="27" xfId="0" applyFont="1" applyFill="1" applyBorder="1" applyAlignment="1">
      <alignment horizontal="center" vertical="center" wrapText="1"/>
    </xf>
    <xf numFmtId="0" fontId="2" fillId="10" borderId="23" xfId="0" applyFont="1" applyFill="1" applyBorder="1" applyAlignment="1">
      <alignment horizontal="center" vertical="center"/>
    </xf>
    <xf numFmtId="0" fontId="5" fillId="0" borderId="0" xfId="0" applyFont="1" applyAlignment="1">
      <alignment horizontal="left" indent="3"/>
    </xf>
    <xf numFmtId="0" fontId="0" fillId="0" borderId="0" xfId="0" applyAlignment="1">
      <alignment horizontal="left"/>
    </xf>
    <xf numFmtId="0" fontId="2" fillId="0" borderId="59" xfId="0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0" fontId="2" fillId="0" borderId="0" xfId="0" applyFont="1" applyAlignment="1">
      <alignment horizontal="left" indent="3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8" fontId="0" fillId="6" borderId="13" xfId="0" applyNumberFormat="1" applyFill="1" applyBorder="1" applyAlignment="1">
      <alignment horizontal="center"/>
    </xf>
    <xf numFmtId="0" fontId="0" fillId="6" borderId="0" xfId="0" applyFill="1"/>
    <xf numFmtId="168" fontId="0" fillId="6" borderId="42" xfId="1" applyNumberFormat="1" applyFont="1" applyFill="1" applyBorder="1" applyAlignment="1">
      <alignment horizontal="center"/>
    </xf>
    <xf numFmtId="164" fontId="0" fillId="0" borderId="79" xfId="0" applyNumberFormat="1" applyBorder="1" applyAlignment="1" applyProtection="1">
      <alignment horizontal="center" vertical="center" wrapText="1"/>
      <protection locked="0"/>
    </xf>
    <xf numFmtId="164" fontId="0" fillId="0" borderId="80" xfId="0" applyNumberFormat="1" applyBorder="1" applyAlignment="1" applyProtection="1">
      <alignment horizontal="center" vertical="center" wrapText="1"/>
      <protection locked="0"/>
    </xf>
    <xf numFmtId="1" fontId="2" fillId="0" borderId="102" xfId="0" applyNumberFormat="1" applyFont="1" applyBorder="1" applyAlignment="1" applyProtection="1">
      <alignment horizontal="center"/>
      <protection locked="0"/>
    </xf>
    <xf numFmtId="1" fontId="2" fillId="0" borderId="32" xfId="0" applyNumberFormat="1" applyFont="1" applyBorder="1" applyAlignment="1" applyProtection="1">
      <alignment horizontal="center"/>
      <protection locked="0"/>
    </xf>
    <xf numFmtId="1" fontId="2" fillId="0" borderId="83" xfId="0" applyNumberFormat="1" applyFont="1" applyBorder="1" applyAlignment="1" applyProtection="1">
      <alignment horizontal="center"/>
      <protection locked="0"/>
    </xf>
    <xf numFmtId="1" fontId="2" fillId="0" borderId="90" xfId="0" applyNumberFormat="1" applyFont="1" applyBorder="1" applyAlignment="1" applyProtection="1">
      <alignment horizontal="center"/>
      <protection locked="0"/>
    </xf>
    <xf numFmtId="168" fontId="0" fillId="11" borderId="109" xfId="0" applyNumberFormat="1" applyFill="1" applyBorder="1" applyAlignment="1">
      <alignment horizontal="center" vertical="center"/>
    </xf>
    <xf numFmtId="168" fontId="0" fillId="11" borderId="46" xfId="0" applyNumberFormat="1" applyFill="1" applyBorder="1" applyAlignment="1">
      <alignment horizontal="center" vertical="center"/>
    </xf>
    <xf numFmtId="168" fontId="0" fillId="11" borderId="110" xfId="0" applyNumberFormat="1" applyFill="1" applyBorder="1" applyAlignment="1">
      <alignment horizontal="center" vertical="center"/>
    </xf>
    <xf numFmtId="168" fontId="0" fillId="11" borderId="111" xfId="0" applyNumberFormat="1" applyFill="1" applyBorder="1" applyAlignment="1">
      <alignment horizontal="center" vertical="center"/>
    </xf>
    <xf numFmtId="0" fontId="2" fillId="0" borderId="85" xfId="0" applyFont="1" applyBorder="1" applyAlignment="1">
      <alignment horizontal="center" vertical="center" wrapText="1"/>
    </xf>
    <xf numFmtId="168" fontId="0" fillId="12" borderId="108" xfId="0" applyNumberFormat="1" applyFill="1" applyBorder="1" applyAlignment="1">
      <alignment horizontal="center" vertical="center"/>
    </xf>
    <xf numFmtId="168" fontId="0" fillId="12" borderId="45" xfId="0" applyNumberFormat="1" applyFill="1" applyBorder="1" applyAlignment="1">
      <alignment horizontal="center" vertical="center"/>
    </xf>
    <xf numFmtId="168" fontId="0" fillId="0" borderId="109" xfId="0" applyNumberFormat="1" applyBorder="1" applyAlignment="1">
      <alignment horizontal="center" vertical="center"/>
    </xf>
    <xf numFmtId="168" fontId="0" fillId="0" borderId="46" xfId="0" applyNumberFormat="1" applyBorder="1" applyAlignment="1">
      <alignment horizontal="center" vertical="center"/>
    </xf>
    <xf numFmtId="168" fontId="0" fillId="9" borderId="109" xfId="0" applyNumberFormat="1" applyFill="1" applyBorder="1" applyAlignment="1">
      <alignment horizontal="center" vertical="center"/>
    </xf>
    <xf numFmtId="168" fontId="0" fillId="9" borderId="46" xfId="0" applyNumberFormat="1" applyFill="1" applyBorder="1" applyAlignment="1">
      <alignment horizontal="center" vertical="center"/>
    </xf>
    <xf numFmtId="171" fontId="2" fillId="0" borderId="0" xfId="0" applyNumberFormat="1" applyFont="1" applyAlignment="1">
      <alignment horizontal="right"/>
    </xf>
    <xf numFmtId="39" fontId="13" fillId="0" borderId="0" xfId="1" applyNumberFormat="1" applyFont="1"/>
    <xf numFmtId="3" fontId="5" fillId="0" borderId="13" xfId="0" applyNumberFormat="1" applyFont="1" applyBorder="1" applyAlignment="1">
      <alignment horizontal="right"/>
    </xf>
    <xf numFmtId="3" fontId="2" fillId="0" borderId="13" xfId="0" applyNumberFormat="1" applyFont="1" applyBorder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  <xf numFmtId="171" fontId="5" fillId="0" borderId="0" xfId="0" applyNumberFormat="1" applyFont="1" applyAlignment="1">
      <alignment horizontal="right"/>
    </xf>
    <xf numFmtId="0" fontId="2" fillId="3" borderId="32" xfId="0" applyFont="1" applyFill="1" applyBorder="1" applyAlignment="1">
      <alignment horizontal="left" indent="1"/>
    </xf>
    <xf numFmtId="0" fontId="2" fillId="0" borderId="13" xfId="0" applyFont="1" applyBorder="1" applyAlignment="1">
      <alignment horizontal="left" indent="1"/>
    </xf>
    <xf numFmtId="0" fontId="2" fillId="3" borderId="13" xfId="0" applyFont="1" applyFill="1" applyBorder="1" applyAlignment="1">
      <alignment horizontal="left" indent="1"/>
    </xf>
    <xf numFmtId="0" fontId="2" fillId="3" borderId="15" xfId="0" applyFont="1" applyFill="1" applyBorder="1" applyProtection="1">
      <protection locked="0"/>
    </xf>
    <xf numFmtId="0" fontId="2" fillId="3" borderId="16" xfId="0" applyFont="1" applyFill="1" applyBorder="1" applyProtection="1">
      <protection locked="0"/>
    </xf>
    <xf numFmtId="0" fontId="2" fillId="0" borderId="1" xfId="0" applyFont="1" applyBorder="1" applyProtection="1">
      <protection locked="0"/>
    </xf>
    <xf numFmtId="0" fontId="2" fillId="0" borderId="10" xfId="0" applyFont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2" fillId="3" borderId="10" xfId="0" applyFont="1" applyFill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11" xfId="0" applyFont="1" applyBorder="1" applyProtection="1">
      <protection locked="0"/>
    </xf>
    <xf numFmtId="0" fontId="2" fillId="3" borderId="94" xfId="0" applyFont="1" applyFill="1" applyBorder="1" applyProtection="1">
      <protection locked="0"/>
    </xf>
    <xf numFmtId="0" fontId="2" fillId="3" borderId="11" xfId="0" applyFont="1" applyFill="1" applyBorder="1" applyProtection="1">
      <protection locked="0"/>
    </xf>
    <xf numFmtId="0" fontId="2" fillId="0" borderId="12" xfId="0" applyFont="1" applyBorder="1" applyProtection="1">
      <protection locked="0"/>
    </xf>
    <xf numFmtId="0" fontId="2" fillId="0" borderId="116" xfId="0" applyFont="1" applyBorder="1" applyProtection="1">
      <protection locked="0"/>
    </xf>
    <xf numFmtId="168" fontId="2" fillId="0" borderId="86" xfId="0" applyNumberFormat="1" applyFont="1" applyBorder="1" applyAlignment="1">
      <alignment horizontal="left" indent="1"/>
    </xf>
    <xf numFmtId="0" fontId="2" fillId="0" borderId="87" xfId="0" applyFont="1" applyBorder="1" applyAlignment="1">
      <alignment horizontal="left" indent="1"/>
    </xf>
    <xf numFmtId="168" fontId="0" fillId="0" borderId="87" xfId="0" applyNumberFormat="1" applyBorder="1" applyAlignment="1">
      <alignment horizontal="center"/>
    </xf>
    <xf numFmtId="166" fontId="0" fillId="0" borderId="87" xfId="1" applyNumberFormat="1" applyFont="1" applyFill="1" applyBorder="1" applyAlignment="1">
      <alignment horizontal="center"/>
    </xf>
    <xf numFmtId="166" fontId="0" fillId="0" borderId="59" xfId="1" applyNumberFormat="1" applyFont="1" applyFill="1" applyBorder="1" applyAlignment="1">
      <alignment horizontal="center"/>
    </xf>
    <xf numFmtId="37" fontId="0" fillId="0" borderId="89" xfId="1" applyNumberFormat="1" applyFont="1" applyFill="1" applyBorder="1" applyAlignment="1">
      <alignment horizontal="center"/>
    </xf>
    <xf numFmtId="165" fontId="0" fillId="0" borderId="87" xfId="1" applyNumberFormat="1" applyFont="1" applyFill="1" applyBorder="1" applyAlignment="1">
      <alignment horizontal="center"/>
    </xf>
    <xf numFmtId="170" fontId="0" fillId="0" borderId="87" xfId="1" applyNumberFormat="1" applyFont="1" applyFill="1" applyBorder="1" applyAlignment="1">
      <alignment horizontal="center"/>
    </xf>
    <xf numFmtId="3" fontId="0" fillId="0" borderId="87" xfId="1" applyNumberFormat="1" applyFont="1" applyFill="1" applyBorder="1" applyAlignment="1">
      <alignment horizontal="center"/>
    </xf>
    <xf numFmtId="3" fontId="0" fillId="0" borderId="89" xfId="1" applyNumberFormat="1" applyFont="1" applyFill="1" applyBorder="1" applyAlignment="1">
      <alignment horizontal="center"/>
    </xf>
    <xf numFmtId="168" fontId="0" fillId="0" borderId="31" xfId="1" applyNumberFormat="1" applyFont="1" applyFill="1" applyBorder="1" applyAlignment="1">
      <alignment horizontal="center"/>
    </xf>
    <xf numFmtId="1" fontId="0" fillId="0" borderId="60" xfId="1" applyNumberFormat="1" applyFont="1" applyFill="1" applyBorder="1" applyAlignment="1">
      <alignment horizontal="center"/>
    </xf>
    <xf numFmtId="165" fontId="2" fillId="0" borderId="87" xfId="1" applyNumberFormat="1" applyFont="1" applyFill="1" applyBorder="1" applyAlignment="1">
      <alignment horizontal="center"/>
    </xf>
    <xf numFmtId="165" fontId="5" fillId="0" borderId="87" xfId="1" applyNumberFormat="1" applyFont="1" applyFill="1" applyBorder="1" applyAlignment="1">
      <alignment horizontal="center"/>
    </xf>
    <xf numFmtId="167" fontId="0" fillId="0" borderId="87" xfId="1" applyNumberFormat="1" applyFont="1" applyFill="1" applyBorder="1" applyAlignment="1">
      <alignment horizontal="center"/>
    </xf>
    <xf numFmtId="168" fontId="0" fillId="0" borderId="87" xfId="1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0" borderId="5" xfId="0" applyBorder="1" applyAlignment="1">
      <alignment horizontal="left" vertical="center" indent="1"/>
    </xf>
    <xf numFmtId="0" fontId="2" fillId="0" borderId="47" xfId="0" applyFont="1" applyBorder="1" applyAlignment="1">
      <alignment horizontal="left" vertical="center" indent="1"/>
    </xf>
    <xf numFmtId="0" fontId="0" fillId="0" borderId="50" xfId="0" applyBorder="1" applyAlignment="1">
      <alignment horizontal="left" vertical="center" indent="1"/>
    </xf>
    <xf numFmtId="0" fontId="0" fillId="0" borderId="47" xfId="0" applyBorder="1" applyAlignment="1">
      <alignment horizontal="left" vertical="center" indent="1"/>
    </xf>
    <xf numFmtId="0" fontId="0" fillId="0" borderId="98" xfId="0" applyBorder="1" applyAlignment="1">
      <alignment horizontal="left" vertical="center" indent="1"/>
    </xf>
    <xf numFmtId="168" fontId="2" fillId="0" borderId="53" xfId="0" applyNumberFormat="1" applyFont="1" applyBorder="1" applyAlignment="1">
      <alignment horizontal="center" vertical="center"/>
    </xf>
    <xf numFmtId="168" fontId="2" fillId="0" borderId="56" xfId="0" applyNumberFormat="1" applyFont="1" applyBorder="1" applyAlignment="1">
      <alignment horizontal="center" vertical="center"/>
    </xf>
    <xf numFmtId="168" fontId="0" fillId="0" borderId="53" xfId="0" applyNumberFormat="1" applyBorder="1" applyAlignment="1">
      <alignment horizontal="center" vertical="center"/>
    </xf>
    <xf numFmtId="168" fontId="0" fillId="0" borderId="33" xfId="0" applyNumberFormat="1" applyBorder="1" applyAlignment="1">
      <alignment horizontal="center" vertical="center"/>
    </xf>
    <xf numFmtId="168" fontId="0" fillId="0" borderId="56" xfId="0" applyNumberFormat="1" applyBorder="1" applyAlignment="1">
      <alignment horizontal="center" vertical="center"/>
    </xf>
    <xf numFmtId="168" fontId="2" fillId="3" borderId="86" xfId="0" applyNumberFormat="1" applyFont="1" applyFill="1" applyBorder="1" applyAlignment="1">
      <alignment horizontal="center" vertical="center"/>
    </xf>
    <xf numFmtId="168" fontId="2" fillId="3" borderId="99" xfId="0" applyNumberFormat="1" applyFont="1" applyFill="1" applyBorder="1" applyAlignment="1">
      <alignment horizontal="center" vertical="center"/>
    </xf>
    <xf numFmtId="168" fontId="2" fillId="3" borderId="53" xfId="0" applyNumberFormat="1" applyFont="1" applyFill="1" applyBorder="1" applyAlignment="1">
      <alignment horizontal="left" indent="1"/>
    </xf>
    <xf numFmtId="0" fontId="2" fillId="3" borderId="33" xfId="0" applyFont="1" applyFill="1" applyBorder="1" applyAlignment="1">
      <alignment horizontal="left" indent="1"/>
    </xf>
    <xf numFmtId="168" fontId="0" fillId="3" borderId="33" xfId="0" applyNumberFormat="1" applyFill="1" applyBorder="1" applyAlignment="1">
      <alignment horizontal="center"/>
    </xf>
    <xf numFmtId="166" fontId="0" fillId="3" borderId="33" xfId="1" applyNumberFormat="1" applyFont="1" applyFill="1" applyBorder="1" applyAlignment="1">
      <alignment horizontal="center"/>
    </xf>
    <xf numFmtId="166" fontId="0" fillId="3" borderId="58" xfId="1" applyNumberFormat="1" applyFont="1" applyFill="1" applyBorder="1" applyAlignment="1">
      <alignment horizontal="center"/>
    </xf>
    <xf numFmtId="37" fontId="0" fillId="3" borderId="50" xfId="1" applyNumberFormat="1" applyFont="1" applyFill="1" applyBorder="1" applyAlignment="1">
      <alignment horizontal="center"/>
    </xf>
    <xf numFmtId="165" fontId="0" fillId="3" borderId="33" xfId="1" applyNumberFormat="1" applyFont="1" applyFill="1" applyBorder="1" applyAlignment="1">
      <alignment horizontal="center"/>
    </xf>
    <xf numFmtId="170" fontId="0" fillId="3" borderId="33" xfId="1" applyNumberFormat="1" applyFont="1" applyFill="1" applyBorder="1" applyAlignment="1">
      <alignment horizontal="center"/>
    </xf>
    <xf numFmtId="3" fontId="0" fillId="3" borderId="33" xfId="1" applyNumberFormat="1" applyFont="1" applyFill="1" applyBorder="1" applyAlignment="1">
      <alignment horizontal="center"/>
    </xf>
    <xf numFmtId="3" fontId="0" fillId="3" borderId="50" xfId="1" applyNumberFormat="1" applyFont="1" applyFill="1" applyBorder="1" applyAlignment="1">
      <alignment horizontal="center"/>
    </xf>
    <xf numFmtId="169" fontId="0" fillId="3" borderId="53" xfId="0" applyNumberFormat="1" applyFill="1" applyBorder="1" applyAlignment="1">
      <alignment horizontal="center"/>
    </xf>
    <xf numFmtId="1" fontId="0" fillId="3" borderId="44" xfId="1" applyNumberFormat="1" applyFont="1" applyFill="1" applyBorder="1" applyAlignment="1">
      <alignment horizontal="center"/>
    </xf>
    <xf numFmtId="165" fontId="2" fillId="3" borderId="33" xfId="1" applyNumberFormat="1" applyFont="1" applyFill="1" applyBorder="1" applyAlignment="1">
      <alignment horizontal="center"/>
    </xf>
    <xf numFmtId="167" fontId="0" fillId="3" borderId="33" xfId="1" applyNumberFormat="1" applyFont="1" applyFill="1" applyBorder="1" applyAlignment="1">
      <alignment horizontal="center"/>
    </xf>
    <xf numFmtId="168" fontId="0" fillId="3" borderId="33" xfId="1" applyNumberFormat="1" applyFont="1" applyFill="1" applyBorder="1" applyAlignment="1">
      <alignment horizontal="center"/>
    </xf>
    <xf numFmtId="168" fontId="5" fillId="3" borderId="56" xfId="0" applyNumberFormat="1" applyFont="1" applyFill="1" applyBorder="1" applyAlignment="1">
      <alignment horizontal="left" indent="1"/>
    </xf>
    <xf numFmtId="168" fontId="0" fillId="3" borderId="117" xfId="1" applyNumberFormat="1" applyFont="1" applyFill="1" applyBorder="1" applyAlignment="1">
      <alignment horizontal="center"/>
    </xf>
    <xf numFmtId="168" fontId="5" fillId="3" borderId="56" xfId="0" applyNumberFormat="1" applyFont="1" applyFill="1" applyBorder="1" applyAlignment="1">
      <alignment horizontal="left"/>
    </xf>
    <xf numFmtId="168" fontId="2" fillId="3" borderId="56" xfId="0" applyNumberFormat="1" applyFont="1" applyFill="1" applyBorder="1" applyAlignment="1">
      <alignment horizontal="left"/>
    </xf>
    <xf numFmtId="166" fontId="0" fillId="0" borderId="46" xfId="1" applyNumberFormat="1" applyFont="1" applyFill="1" applyBorder="1" applyAlignment="1">
      <alignment horizontal="center"/>
    </xf>
    <xf numFmtId="166" fontId="0" fillId="0" borderId="88" xfId="1" applyNumberFormat="1" applyFont="1" applyFill="1" applyBorder="1" applyAlignment="1">
      <alignment horizontal="center"/>
    </xf>
    <xf numFmtId="166" fontId="0" fillId="3" borderId="45" xfId="1" applyNumberFormat="1" applyFont="1" applyFill="1" applyBorder="1" applyAlignment="1">
      <alignment horizontal="center"/>
    </xf>
    <xf numFmtId="166" fontId="0" fillId="3" borderId="46" xfId="1" applyNumberFormat="1" applyFont="1" applyFill="1" applyBorder="1" applyAlignment="1">
      <alignment horizontal="center"/>
    </xf>
    <xf numFmtId="165" fontId="0" fillId="3" borderId="47" xfId="0" applyNumberFormat="1" applyFill="1" applyBorder="1" applyAlignment="1">
      <alignment horizontal="center"/>
    </xf>
    <xf numFmtId="0" fontId="5" fillId="0" borderId="85" xfId="0" applyFont="1" applyBorder="1" applyAlignment="1">
      <alignment horizontal="left" indent="3"/>
    </xf>
    <xf numFmtId="0" fontId="0" fillId="0" borderId="0" xfId="0" applyAlignment="1">
      <alignment horizontal="left" indent="3"/>
    </xf>
    <xf numFmtId="0" fontId="5" fillId="0" borderId="37" xfId="0" applyFont="1" applyBorder="1" applyAlignment="1">
      <alignment horizontal="left" indent="3"/>
    </xf>
    <xf numFmtId="0" fontId="0" fillId="0" borderId="12" xfId="0" applyBorder="1" applyAlignment="1">
      <alignment horizontal="left" indent="3"/>
    </xf>
    <xf numFmtId="0" fontId="12" fillId="0" borderId="34" xfId="0" applyFont="1" applyBorder="1" applyAlignment="1">
      <alignment horizontal="center"/>
    </xf>
    <xf numFmtId="0" fontId="0" fillId="0" borderId="35" xfId="0" applyBorder="1" applyAlignment="1">
      <alignment horizontal="center"/>
    </xf>
    <xf numFmtId="0" fontId="5" fillId="0" borderId="0" xfId="0" applyFont="1" applyAlignment="1">
      <alignment horizontal="left" indent="3"/>
    </xf>
    <xf numFmtId="0" fontId="0" fillId="0" borderId="0" xfId="0" applyAlignment="1">
      <alignment horizontal="left"/>
    </xf>
    <xf numFmtId="0" fontId="12" fillId="0" borderId="35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3" fontId="5" fillId="0" borderId="9" xfId="0" applyNumberFormat="1" applyFont="1" applyBorder="1" applyAlignment="1">
      <alignment horizontal="left" indent="5"/>
    </xf>
    <xf numFmtId="0" fontId="5" fillId="0" borderId="0" xfId="0" applyFont="1" applyAlignment="1">
      <alignment horizontal="left" indent="5"/>
    </xf>
    <xf numFmtId="165" fontId="12" fillId="0" borderId="35" xfId="0" applyNumberFormat="1" applyFont="1" applyBorder="1" applyAlignment="1">
      <alignment horizontal="left"/>
    </xf>
    <xf numFmtId="0" fontId="0" fillId="0" borderId="36" xfId="0" applyBorder="1"/>
    <xf numFmtId="0" fontId="5" fillId="0" borderId="9" xfId="0" applyFont="1" applyBorder="1" applyAlignment="1">
      <alignment horizontal="left" indent="5"/>
    </xf>
    <xf numFmtId="0" fontId="0" fillId="0" borderId="35" xfId="0" applyBorder="1"/>
    <xf numFmtId="0" fontId="5" fillId="0" borderId="12" xfId="0" applyFont="1" applyBorder="1" applyAlignment="1">
      <alignment horizontal="left" indent="3"/>
    </xf>
    <xf numFmtId="0" fontId="0" fillId="0" borderId="12" xfId="0" applyBorder="1" applyAlignment="1">
      <alignment horizontal="left"/>
    </xf>
    <xf numFmtId="0" fontId="5" fillId="5" borderId="23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5" fillId="5" borderId="27" xfId="0" applyFont="1" applyFill="1" applyBorder="1" applyAlignment="1">
      <alignment horizontal="center"/>
    </xf>
    <xf numFmtId="0" fontId="2" fillId="0" borderId="59" xfId="0" applyFont="1" applyBorder="1" applyAlignment="1">
      <alignment horizontal="center"/>
    </xf>
    <xf numFmtId="0" fontId="2" fillId="0" borderId="89" xfId="0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3" fontId="5" fillId="0" borderId="12" xfId="0" applyNumberFormat="1" applyFont="1" applyBorder="1" applyAlignment="1">
      <alignment horizontal="left" indent="5"/>
    </xf>
    <xf numFmtId="0" fontId="5" fillId="0" borderId="38" xfId="0" applyFont="1" applyBorder="1" applyAlignment="1">
      <alignment horizontal="left" indent="5"/>
    </xf>
    <xf numFmtId="0" fontId="5" fillId="0" borderId="12" xfId="0" applyFont="1" applyBorder="1" applyAlignment="1">
      <alignment horizontal="left" indent="5"/>
    </xf>
    <xf numFmtId="0" fontId="2" fillId="10" borderId="23" xfId="0" applyFont="1" applyFill="1" applyBorder="1" applyAlignment="1">
      <alignment horizontal="center" vertical="center"/>
    </xf>
    <xf numFmtId="0" fontId="2" fillId="10" borderId="27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0" fillId="2" borderId="0" xfId="0" applyFill="1"/>
    <xf numFmtId="0" fontId="0" fillId="0" borderId="0" xfId="0"/>
    <xf numFmtId="0" fontId="2" fillId="6" borderId="23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2" fillId="6" borderId="27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11" fillId="0" borderId="35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3" fontId="2" fillId="0" borderId="9" xfId="0" applyNumberFormat="1" applyFont="1" applyBorder="1" applyAlignment="1">
      <alignment horizontal="left" indent="5"/>
    </xf>
    <xf numFmtId="0" fontId="2" fillId="0" borderId="0" xfId="0" applyFont="1" applyAlignment="1">
      <alignment horizontal="left" indent="5"/>
    </xf>
    <xf numFmtId="165" fontId="11" fillId="0" borderId="35" xfId="0" applyNumberFormat="1" applyFont="1" applyBorder="1" applyAlignment="1">
      <alignment horizontal="left"/>
    </xf>
    <xf numFmtId="0" fontId="2" fillId="0" borderId="9" xfId="0" applyFont="1" applyBorder="1" applyAlignment="1">
      <alignment horizontal="left" indent="5"/>
    </xf>
    <xf numFmtId="0" fontId="2" fillId="5" borderId="23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2" fillId="5" borderId="27" xfId="0" applyFont="1" applyFill="1" applyBorder="1" applyAlignment="1">
      <alignment horizontal="center"/>
    </xf>
    <xf numFmtId="3" fontId="2" fillId="0" borderId="12" xfId="0" applyNumberFormat="1" applyFont="1" applyBorder="1" applyAlignment="1">
      <alignment horizontal="left" indent="5"/>
    </xf>
    <xf numFmtId="0" fontId="2" fillId="0" borderId="38" xfId="0" applyFont="1" applyBorder="1" applyAlignment="1">
      <alignment horizontal="left" indent="5"/>
    </xf>
    <xf numFmtId="0" fontId="2" fillId="0" borderId="12" xfId="0" applyFont="1" applyBorder="1" applyAlignment="1">
      <alignment horizontal="left" indent="5"/>
    </xf>
    <xf numFmtId="0" fontId="2" fillId="0" borderId="85" xfId="0" applyFont="1" applyBorder="1" applyAlignment="1">
      <alignment horizontal="left" indent="3"/>
    </xf>
    <xf numFmtId="0" fontId="2" fillId="0" borderId="37" xfId="0" applyFont="1" applyBorder="1" applyAlignment="1">
      <alignment horizontal="left" indent="3"/>
    </xf>
    <xf numFmtId="0" fontId="11" fillId="0" borderId="34" xfId="0" applyFont="1" applyBorder="1" applyAlignment="1">
      <alignment horizontal="center"/>
    </xf>
    <xf numFmtId="0" fontId="2" fillId="0" borderId="0" xfId="0" applyFont="1" applyAlignment="1">
      <alignment horizontal="left" indent="3"/>
    </xf>
    <xf numFmtId="0" fontId="2" fillId="0" borderId="12" xfId="0" applyFont="1" applyBorder="1" applyAlignment="1">
      <alignment horizontal="left" indent="3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2" fillId="5" borderId="0" xfId="0" applyFont="1" applyFill="1" applyProtection="1">
      <protection locked="0"/>
    </xf>
    <xf numFmtId="0" fontId="0" fillId="5" borderId="0" xfId="0" applyFill="1" applyProtection="1">
      <protection locked="0"/>
    </xf>
    <xf numFmtId="0" fontId="2" fillId="0" borderId="76" xfId="0" applyFont="1" applyBorder="1" applyAlignment="1" applyProtection="1">
      <alignment horizontal="center"/>
      <protection locked="0"/>
    </xf>
    <xf numFmtId="0" fontId="2" fillId="0" borderId="77" xfId="0" applyFont="1" applyBorder="1" applyAlignment="1" applyProtection="1">
      <alignment horizontal="center"/>
      <protection locked="0"/>
    </xf>
    <xf numFmtId="0" fontId="2" fillId="0" borderId="78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3" borderId="23" xfId="0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0" fontId="0" fillId="3" borderId="27" xfId="0" applyFill="1" applyBorder="1" applyAlignment="1" applyProtection="1">
      <alignment horizontal="center"/>
      <protection locked="0"/>
    </xf>
  </cellXfs>
  <cellStyles count="3">
    <cellStyle name="Comma" xfId="1" builtinId="3"/>
    <cellStyle name="Normal" xfId="0" builtinId="0"/>
    <cellStyle name="Percent" xfId="2" builtinId="5"/>
  </cellStyles>
  <dxfs count="24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anOtteren, Glenn M.(GVO)" id="{5C377B25-E482-438C-9F63-8700CECAC37A}" userId="S::Glenn.Vanotteren@corewellhealth.org::4d53eb27-896c-4413-9da6-d54f9ad5372d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F09B3286-ACD0-BB43-8B8C-9AC7D5107824}">
    <text>This counts the number of boats who have a finish time</text>
  </threadedComment>
  <threadedComment ref="X3" dT="2023-08-27T22:47:27.95" personId="{5C377B25-E482-438C-9F63-8700CECAC37A}" id="{175CEA0E-EFB3-BB4D-A36F-A6DB022CAB66}">
    <text>Uses actual elapsed time, multiplied by the appropriate time correction factor (Spin vs. No Spin)</text>
  </threadedComment>
  <threadedComment ref="AC3" dT="2023-08-27T22:51:30.35" personId="{5C377B25-E482-438C-9F63-8700CECAC37A}" id="{712A115B-121B-9F47-B3F0-97E4DAB58677}">
    <text>Based upon corrected time based upon time on time scoring.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E082E513-69F9-BE4E-9F5E-409869AF7F25}">
    <text>This counts the number of boats who have a finish time</text>
  </threadedComment>
  <threadedComment ref="X3" dT="2023-08-27T22:47:27.95" personId="{5C377B25-E482-438C-9F63-8700CECAC37A}" id="{08409660-3D81-564E-AF04-C53A9CA05016}">
    <text>Uses actual elapsed time, multiplied by the appropriate time correction factor (Spin vs. No Spin)</text>
  </threadedComment>
  <threadedComment ref="AC3" dT="2023-08-27T22:51:30.35" personId="{5C377B25-E482-438C-9F63-8700CECAC37A}" id="{1300E993-3C1B-9248-A003-296F608A9F3E}">
    <text>Based upon corrected time based upon time on time scoring.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E4084B25-3A9A-4049-83BA-256FC08A9958}">
    <text>This counts the number of boats who have a finish time</text>
  </threadedComment>
  <threadedComment ref="X3" dT="2023-08-27T22:47:27.95" personId="{5C377B25-E482-438C-9F63-8700CECAC37A}" id="{A65CA705-EB3E-7E4A-874A-D3ABD4460958}">
    <text>Uses actual elapsed time, multiplied by the appropriate time correction factor (Spin vs. No Spin)</text>
  </threadedComment>
  <threadedComment ref="AC3" dT="2023-08-27T22:51:30.35" personId="{5C377B25-E482-438C-9F63-8700CECAC37A}" id="{EDD34997-FEFB-9049-A89C-1FD6163A1230}">
    <text>Based upon corrected time based upon time on time scoring.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3E260D07-8AB8-E043-AFE5-64990A9D53B9}">
    <text>This counts the number of boats who have a finish time</text>
  </threadedComment>
  <threadedComment ref="X3" dT="2023-08-27T22:47:27.95" personId="{5C377B25-E482-438C-9F63-8700CECAC37A}" id="{F2C698E6-3D9F-B84D-942D-8051CF1BD164}">
    <text>Uses actual elapsed time, multiplied by the appropriate time correction factor (Spin vs. No Spin)</text>
  </threadedComment>
  <threadedComment ref="AC3" dT="2023-08-27T22:51:30.35" personId="{5C377B25-E482-438C-9F63-8700CECAC37A}" id="{761A51C3-223E-024A-A1A8-100001FE03A4}">
    <text>Based upon corrected time based upon time on time scoring.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893FBF5F-A98C-9E4B-A64B-FED2F857ABDD}">
    <text>This counts the number of boats who have a finish time</text>
  </threadedComment>
  <threadedComment ref="X3" dT="2023-08-27T22:47:27.95" personId="{5C377B25-E482-438C-9F63-8700CECAC37A}" id="{38B399E8-7D49-D443-8293-C5D6590FBAA0}">
    <text>Uses actual elapsed time, multiplied by the appropriate time correction factor (Spin vs. No Spin)</text>
  </threadedComment>
  <threadedComment ref="AC3" dT="2023-08-27T22:51:30.35" personId="{5C377B25-E482-438C-9F63-8700CECAC37A}" id="{6EB2A91D-C78C-1F4F-90E9-9B43E88C1661}">
    <text>Based upon corrected time based upon time on time scoring.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5762C41C-C89B-A944-871E-770FA5010E28}">
    <text>This counts the number of boats who have a finish time</text>
  </threadedComment>
  <threadedComment ref="X3" dT="2023-08-27T22:47:27.95" personId="{5C377B25-E482-438C-9F63-8700CECAC37A}" id="{FA6D60C6-6547-7F47-857F-C847EBB4D91D}">
    <text>Uses actual elapsed time, multiplied by the appropriate time correction factor (Spin vs. No Spin)</text>
  </threadedComment>
  <threadedComment ref="AC3" dT="2023-08-27T22:51:30.35" personId="{5C377B25-E482-438C-9F63-8700CECAC37A}" id="{B448A7E7-491E-634D-BE71-9533003B5A75}">
    <text>Based upon corrected time based upon time on time scoring.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BD50151A-2892-ED42-BCAF-0D1DB3A3148D}">
    <text>This counts the number of boats who have a finish time</text>
  </threadedComment>
  <threadedComment ref="X3" dT="2023-08-27T22:47:27.95" personId="{5C377B25-E482-438C-9F63-8700CECAC37A}" id="{AAD699B5-F56B-5E40-88BB-811787D8D220}">
    <text>Uses actual elapsed time, multiplied by the appropriate time correction factor (Spin vs. No Spin)</text>
  </threadedComment>
  <threadedComment ref="AC3" dT="2023-08-27T22:51:30.35" personId="{5C377B25-E482-438C-9F63-8700CECAC37A}" id="{2EDBF92A-38CF-E844-B381-B316530AC68C}">
    <text>Based upon corrected time based upon time on time scoring.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7F1A8DF7-4723-5849-A021-2BD19B9D6BEA}">
    <text>This counts the number of boats who have a finish time</text>
  </threadedComment>
  <threadedComment ref="X3" dT="2023-08-27T22:47:27.95" personId="{5C377B25-E482-438C-9F63-8700CECAC37A}" id="{E368BD48-FAA4-A649-A451-57DA41C367CF}">
    <text>Uses actual elapsed time, multiplied by the appropriate time correction factor (Spin vs. No Spin)</text>
  </threadedComment>
  <threadedComment ref="AC3" dT="2023-08-27T22:51:30.35" personId="{5C377B25-E482-438C-9F63-8700CECAC37A}" id="{D0C1AEF8-5CF9-2044-BBAE-3358279E6B0E}">
    <text>Based upon corrected time based upon time on time scoring.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FC09185B-C8F6-A241-B513-90B4D0B8A769}">
    <text>This counts the number of boats who have a finish time</text>
  </threadedComment>
  <threadedComment ref="X3" dT="2023-08-27T22:47:27.95" personId="{5C377B25-E482-438C-9F63-8700CECAC37A}" id="{3CD5D9AF-48C3-AF4E-9667-0BF5193980B3}">
    <text>Uses actual elapsed time, multiplied by the appropriate time correction factor (Spin vs. No Spin)</text>
  </threadedComment>
  <threadedComment ref="AC3" dT="2023-08-27T22:51:30.35" personId="{5C377B25-E482-438C-9F63-8700CECAC37A}" id="{7A349025-A46F-2F46-92E5-30E182780F98}">
    <text>Based upon corrected time based upon time on time scoring.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34F32D4F-1810-9C4F-8278-AE52BD327EB5}">
    <text>This counts the number of boats who have a finish time</text>
  </threadedComment>
  <threadedComment ref="X3" dT="2023-08-27T22:47:27.95" personId="{5C377B25-E482-438C-9F63-8700CECAC37A}" id="{D51A8E90-2DB3-D247-8FE0-D58BBAAFD348}">
    <text>Uses actual elapsed time, multiplied by the appropriate time correction factor (Spin vs. No Spin)</text>
  </threadedComment>
  <threadedComment ref="AC3" dT="2023-08-27T22:51:30.35" personId="{5C377B25-E482-438C-9F63-8700CECAC37A}" id="{23818F28-53BA-C34A-9A7D-D9E696C9F55B}">
    <text>Based upon corrected time based upon time on time scoring.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N3" dT="2023-08-27T22:44:33.51" personId="{5C377B25-E482-438C-9F63-8700CECAC37A}" id="{48142509-ECFE-D34C-AD4B-2B2FEB30A3A7}">
    <text>This counts the number of boats who have a finish time</text>
  </threadedComment>
  <threadedComment ref="X3" dT="2023-08-27T22:47:27.95" personId="{5C377B25-E482-438C-9F63-8700CECAC37A}" id="{B54FA381-015B-3346-B8F0-33A37A6C14A0}">
    <text>Uses actual elapsed time, multiplied by the appropriate time correction factor (Spin vs. No Spin)</text>
  </threadedComment>
  <threadedComment ref="AC3" dT="2023-08-27T22:51:30.35" personId="{5C377B25-E482-438C-9F63-8700CECAC37A}" id="{3CE772F8-00F4-024C-8DBE-533865E52CC3}">
    <text>Based upon corrected time based upon time on time scoring.</text>
  </threadedComment>
</ThreadedComment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Relationship Id="rId4" Type="http://schemas.microsoft.com/office/2017/10/relationships/threadedComment" Target="../threadedComments/threadedComment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Relationship Id="rId4" Type="http://schemas.microsoft.com/office/2017/10/relationships/threadedComment" Target="../threadedComments/threadedComment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FDFE2-03BA-4092-94DE-C56B8996D4A7}">
  <sheetPr>
    <pageSetUpPr fitToPage="1"/>
  </sheetPr>
  <dimension ref="B1:P27"/>
  <sheetViews>
    <sheetView zoomScaleNormal="100" workbookViewId="0">
      <selection activeCell="L12" sqref="L12"/>
    </sheetView>
  </sheetViews>
  <sheetFormatPr baseColWidth="10" defaultColWidth="8.83203125" defaultRowHeight="15" x14ac:dyDescent="0.2"/>
  <cols>
    <col min="3" max="3" width="16.33203125" customWidth="1"/>
    <col min="4" max="4" width="20" customWidth="1"/>
    <col min="5" max="5" width="27.5" customWidth="1"/>
    <col min="6" max="6" width="17.83203125" bestFit="1" customWidth="1"/>
    <col min="7" max="8" width="10.6640625" customWidth="1"/>
    <col min="9" max="9" width="3.6640625" customWidth="1"/>
    <col min="10" max="10" width="5.6640625" customWidth="1"/>
    <col min="11" max="16" width="10.6640625" customWidth="1"/>
  </cols>
  <sheetData>
    <row r="1" spans="2:16" ht="16" thickBot="1" x14ac:dyDescent="0.25"/>
    <row r="2" spans="2:16" ht="16" thickBot="1" x14ac:dyDescent="0.25">
      <c r="B2" s="28" t="s">
        <v>113</v>
      </c>
      <c r="G2" s="482" t="s">
        <v>11</v>
      </c>
      <c r="H2" s="483"/>
      <c r="K2" s="486" t="s">
        <v>114</v>
      </c>
      <c r="L2" s="487"/>
      <c r="M2" s="487"/>
      <c r="N2" s="487"/>
      <c r="O2" s="487"/>
      <c r="P2" s="488"/>
    </row>
    <row r="3" spans="2:16" ht="35.25" customHeight="1" thickBot="1" x14ac:dyDescent="0.25">
      <c r="G3" s="480" t="s">
        <v>115</v>
      </c>
      <c r="H3" s="481"/>
      <c r="K3" s="489" t="s">
        <v>222</v>
      </c>
      <c r="L3" s="490"/>
      <c r="M3" s="489" t="s">
        <v>116</v>
      </c>
      <c r="N3" s="491"/>
      <c r="O3" s="492"/>
      <c r="P3" s="493"/>
    </row>
    <row r="4" spans="2:16" ht="63.75" customHeight="1" thickBot="1" x14ac:dyDescent="0.25">
      <c r="E4" s="10"/>
      <c r="F4" s="10"/>
      <c r="G4" s="197" t="s">
        <v>117</v>
      </c>
      <c r="H4" s="345" t="s">
        <v>118</v>
      </c>
      <c r="K4" s="13" t="s">
        <v>119</v>
      </c>
      <c r="L4" s="344" t="s">
        <v>120</v>
      </c>
      <c r="M4" s="489" t="s">
        <v>119</v>
      </c>
      <c r="N4" s="490"/>
      <c r="O4" s="489" t="s">
        <v>120</v>
      </c>
      <c r="P4" s="490"/>
    </row>
    <row r="5" spans="2:16" ht="61.5" customHeight="1" thickBot="1" x14ac:dyDescent="0.25">
      <c r="C5" s="102" t="s">
        <v>121</v>
      </c>
      <c r="D5" s="102" t="s">
        <v>20</v>
      </c>
      <c r="E5" s="181" t="s">
        <v>21</v>
      </c>
      <c r="F5" s="102" t="s">
        <v>122</v>
      </c>
      <c r="G5" s="346" t="s">
        <v>123</v>
      </c>
      <c r="H5" s="198" t="s">
        <v>124</v>
      </c>
      <c r="I5" s="367"/>
      <c r="J5" s="178"/>
      <c r="K5" s="98"/>
      <c r="L5" s="344"/>
      <c r="M5" s="177" t="s">
        <v>125</v>
      </c>
      <c r="N5" s="179" t="s">
        <v>126</v>
      </c>
      <c r="O5" s="180" t="s">
        <v>125</v>
      </c>
      <c r="P5" s="98" t="s">
        <v>126</v>
      </c>
    </row>
    <row r="6" spans="2:16" ht="30" customHeight="1" x14ac:dyDescent="0.2">
      <c r="C6" s="103" t="s">
        <v>62</v>
      </c>
      <c r="D6" s="104" t="s">
        <v>63</v>
      </c>
      <c r="E6" s="182" t="s">
        <v>64</v>
      </c>
      <c r="F6" s="188" t="s">
        <v>61</v>
      </c>
      <c r="G6" s="368">
        <v>111</v>
      </c>
      <c r="H6" s="369">
        <v>126</v>
      </c>
      <c r="I6" s="121"/>
      <c r="K6" s="191">
        <f>'2026 Suttons Finish Summary'!L5</f>
        <v>110.1</v>
      </c>
      <c r="L6" s="192">
        <f>'2026 Suttons Finish Summary'!M5</f>
        <v>116.1</v>
      </c>
      <c r="M6" s="118">
        <f t="shared" ref="M6:M20" si="0">G6*(1+$F$25)</f>
        <v>94.35</v>
      </c>
      <c r="N6" s="111">
        <f t="shared" ref="N6:N20" si="1">G6*(1+$F$24)</f>
        <v>133.19999999999999</v>
      </c>
      <c r="O6" s="111">
        <f t="shared" ref="O6:O20" si="2">H6*(1+$F$25)</f>
        <v>107.1</v>
      </c>
      <c r="P6" s="112">
        <f t="shared" ref="P6:P20" si="3">H6*(1+$F$24)</f>
        <v>151.19999999999999</v>
      </c>
    </row>
    <row r="7" spans="2:16" ht="30" customHeight="1" x14ac:dyDescent="0.2">
      <c r="C7" s="105" t="s">
        <v>66</v>
      </c>
      <c r="D7" s="106" t="s">
        <v>226</v>
      </c>
      <c r="E7" s="183" t="s">
        <v>67</v>
      </c>
      <c r="F7" s="189" t="s">
        <v>65</v>
      </c>
      <c r="G7" s="372">
        <f>'2026 Suttons Finish Summary'!L6</f>
        <v>87</v>
      </c>
      <c r="H7" s="373">
        <v>110</v>
      </c>
      <c r="I7" s="121"/>
      <c r="K7" s="193">
        <f>'2026 Suttons Finish Summary'!L6</f>
        <v>87</v>
      </c>
      <c r="L7" s="194">
        <f>'2026 Suttons Finish Summary'!M6</f>
        <v>107</v>
      </c>
      <c r="M7" s="119">
        <f t="shared" si="0"/>
        <v>73.95</v>
      </c>
      <c r="N7" s="113">
        <f t="shared" si="1"/>
        <v>104.39999999999999</v>
      </c>
      <c r="O7" s="113">
        <f t="shared" si="2"/>
        <v>93.5</v>
      </c>
      <c r="P7" s="114">
        <f t="shared" si="3"/>
        <v>132</v>
      </c>
    </row>
    <row r="8" spans="2:16" ht="30" customHeight="1" x14ac:dyDescent="0.2">
      <c r="C8" s="105" t="s">
        <v>69</v>
      </c>
      <c r="D8" s="106" t="s">
        <v>70</v>
      </c>
      <c r="E8" s="183" t="s">
        <v>71</v>
      </c>
      <c r="F8" s="189" t="s">
        <v>68</v>
      </c>
      <c r="G8" s="370">
        <v>54</v>
      </c>
      <c r="H8" s="371">
        <v>65.599999999999994</v>
      </c>
      <c r="I8" s="121"/>
      <c r="K8" s="193">
        <f>'2026 Suttons Finish Summary'!L7</f>
        <v>54</v>
      </c>
      <c r="L8" s="194">
        <f>'2026 Suttons Finish Summary'!M7</f>
        <v>65.599999999999994</v>
      </c>
      <c r="M8" s="119">
        <f t="shared" si="0"/>
        <v>45.9</v>
      </c>
      <c r="N8" s="113">
        <f t="shared" si="1"/>
        <v>64.8</v>
      </c>
      <c r="O8" s="113">
        <f t="shared" si="2"/>
        <v>55.759999999999991</v>
      </c>
      <c r="P8" s="114">
        <f t="shared" si="3"/>
        <v>78.719999999999985</v>
      </c>
    </row>
    <row r="9" spans="2:16" ht="30" customHeight="1" x14ac:dyDescent="0.2">
      <c r="C9" s="107" t="s">
        <v>229</v>
      </c>
      <c r="D9" s="108" t="s">
        <v>127</v>
      </c>
      <c r="E9" s="184" t="s">
        <v>73</v>
      </c>
      <c r="F9" s="190" t="s">
        <v>72</v>
      </c>
      <c r="G9" s="372">
        <v>195</v>
      </c>
      <c r="H9" s="373">
        <v>201</v>
      </c>
      <c r="I9" s="121"/>
      <c r="K9" s="195">
        <f>'2026 Suttons Finish Summary'!L8</f>
        <v>195</v>
      </c>
      <c r="L9" s="196">
        <f>'2026 Suttons Finish Summary'!M8</f>
        <v>207</v>
      </c>
      <c r="M9" s="120">
        <f t="shared" si="0"/>
        <v>165.75</v>
      </c>
      <c r="N9" s="115">
        <f t="shared" si="1"/>
        <v>234</v>
      </c>
      <c r="O9" s="115">
        <f t="shared" si="2"/>
        <v>170.85</v>
      </c>
      <c r="P9" s="116">
        <f t="shared" si="3"/>
        <v>241.2</v>
      </c>
    </row>
    <row r="10" spans="2:16" ht="30" customHeight="1" x14ac:dyDescent="0.2">
      <c r="C10" s="105" t="s">
        <v>75</v>
      </c>
      <c r="D10" s="106" t="s">
        <v>76</v>
      </c>
      <c r="E10" s="183" t="s">
        <v>77</v>
      </c>
      <c r="F10" s="189" t="s">
        <v>74</v>
      </c>
      <c r="G10" s="372">
        <v>157</v>
      </c>
      <c r="H10" s="373">
        <v>169</v>
      </c>
      <c r="I10" s="121"/>
      <c r="K10" s="193">
        <f>'2026 Suttons Finish Summary'!L9</f>
        <v>164.2</v>
      </c>
      <c r="L10" s="194">
        <f>'2026 Suttons Finish Summary'!M9</f>
        <v>178.2</v>
      </c>
      <c r="M10" s="119">
        <f t="shared" si="0"/>
        <v>133.44999999999999</v>
      </c>
      <c r="N10" s="113">
        <f t="shared" si="1"/>
        <v>188.4</v>
      </c>
      <c r="O10" s="113">
        <f t="shared" si="2"/>
        <v>143.65</v>
      </c>
      <c r="P10" s="114">
        <f t="shared" si="3"/>
        <v>202.79999999999998</v>
      </c>
    </row>
    <row r="11" spans="2:16" ht="30" customHeight="1" x14ac:dyDescent="0.2">
      <c r="C11" s="107" t="s">
        <v>79</v>
      </c>
      <c r="D11" s="108" t="s">
        <v>80</v>
      </c>
      <c r="E11" s="184" t="s">
        <v>81</v>
      </c>
      <c r="F11" s="190" t="s">
        <v>78</v>
      </c>
      <c r="G11" s="363">
        <v>165</v>
      </c>
      <c r="H11" s="364">
        <v>177</v>
      </c>
      <c r="I11" s="121"/>
      <c r="K11" s="195">
        <f>'2026 Suttons Finish Summary'!L10</f>
        <v>194.4</v>
      </c>
      <c r="L11" s="196">
        <f>'2026 Suttons Finish Summary'!M10</f>
        <v>206.4</v>
      </c>
      <c r="M11" s="120">
        <f t="shared" si="0"/>
        <v>140.25</v>
      </c>
      <c r="N11" s="115">
        <f t="shared" si="1"/>
        <v>198</v>
      </c>
      <c r="O11" s="115">
        <f t="shared" si="2"/>
        <v>150.44999999999999</v>
      </c>
      <c r="P11" s="116">
        <f t="shared" si="3"/>
        <v>212.4</v>
      </c>
    </row>
    <row r="12" spans="2:16" ht="30" customHeight="1" x14ac:dyDescent="0.2">
      <c r="C12" s="105" t="s">
        <v>83</v>
      </c>
      <c r="D12" s="106" t="s">
        <v>84</v>
      </c>
      <c r="E12" s="183" t="s">
        <v>85</v>
      </c>
      <c r="F12" s="189" t="s">
        <v>82</v>
      </c>
      <c r="G12" s="372">
        <v>147</v>
      </c>
      <c r="H12" s="373">
        <v>159</v>
      </c>
      <c r="I12" s="121"/>
      <c r="K12" s="193">
        <f>'2026 Suttons Finish Summary'!L11</f>
        <v>162</v>
      </c>
      <c r="L12" s="194">
        <f>'2026 Suttons Finish Summary'!M11</f>
        <v>176.1</v>
      </c>
      <c r="M12" s="119">
        <f t="shared" si="0"/>
        <v>124.95</v>
      </c>
      <c r="N12" s="113">
        <f t="shared" si="1"/>
        <v>176.4</v>
      </c>
      <c r="O12" s="113">
        <f t="shared" si="2"/>
        <v>135.15</v>
      </c>
      <c r="P12" s="114">
        <f t="shared" si="3"/>
        <v>190.79999999999998</v>
      </c>
    </row>
    <row r="13" spans="2:16" ht="30" customHeight="1" x14ac:dyDescent="0.2">
      <c r="C13" s="107" t="s">
        <v>232</v>
      </c>
      <c r="D13" s="108" t="s">
        <v>233</v>
      </c>
      <c r="E13" s="184" t="s">
        <v>234</v>
      </c>
      <c r="F13" s="190" t="s">
        <v>235</v>
      </c>
      <c r="G13" s="363">
        <v>280</v>
      </c>
      <c r="H13" s="364">
        <v>288</v>
      </c>
      <c r="I13" s="121"/>
      <c r="K13" s="195"/>
      <c r="L13" s="196"/>
      <c r="M13" s="120">
        <f t="shared" si="0"/>
        <v>238</v>
      </c>
      <c r="N13" s="115">
        <f t="shared" si="1"/>
        <v>336</v>
      </c>
      <c r="O13" s="115">
        <f t="shared" si="2"/>
        <v>244.79999999999998</v>
      </c>
      <c r="P13" s="116">
        <f t="shared" si="3"/>
        <v>345.59999999999997</v>
      </c>
    </row>
    <row r="14" spans="2:16" ht="30" customHeight="1" x14ac:dyDescent="0.2">
      <c r="C14" s="105" t="s">
        <v>223</v>
      </c>
      <c r="D14" s="106" t="s">
        <v>224</v>
      </c>
      <c r="E14" s="183" t="s">
        <v>225</v>
      </c>
      <c r="F14" s="189" t="s">
        <v>228</v>
      </c>
      <c r="G14" s="372">
        <v>225</v>
      </c>
      <c r="H14" s="373">
        <v>240</v>
      </c>
      <c r="I14" s="121"/>
      <c r="K14" s="193">
        <f>'2026 Suttons Finish Summary'!L13</f>
        <v>270</v>
      </c>
      <c r="L14" s="194">
        <f>'2026 Suttons Finish Summary'!M13</f>
        <v>276.2</v>
      </c>
      <c r="M14" s="119">
        <f t="shared" si="0"/>
        <v>191.25</v>
      </c>
      <c r="N14" s="113">
        <f t="shared" si="1"/>
        <v>270</v>
      </c>
      <c r="O14" s="113">
        <f t="shared" si="2"/>
        <v>204</v>
      </c>
      <c r="P14" s="114">
        <f t="shared" si="3"/>
        <v>288</v>
      </c>
    </row>
    <row r="15" spans="2:16" ht="30" customHeight="1" x14ac:dyDescent="0.2">
      <c r="C15" s="107" t="s">
        <v>87</v>
      </c>
      <c r="D15" s="108" t="s">
        <v>88</v>
      </c>
      <c r="E15" s="184" t="s">
        <v>89</v>
      </c>
      <c r="F15" s="190" t="s">
        <v>86</v>
      </c>
      <c r="G15" s="363">
        <v>204</v>
      </c>
      <c r="H15" s="364">
        <v>216</v>
      </c>
      <c r="I15" s="121"/>
      <c r="K15" s="195">
        <f>'2026 Suttons Finish Summary'!L14</f>
        <v>218.4</v>
      </c>
      <c r="L15" s="196">
        <f>'2026 Suttons Finish Summary'!M14</f>
        <v>227.4</v>
      </c>
      <c r="M15" s="120">
        <f t="shared" si="0"/>
        <v>173.4</v>
      </c>
      <c r="N15" s="115">
        <f t="shared" si="1"/>
        <v>244.79999999999998</v>
      </c>
      <c r="O15" s="115">
        <f t="shared" si="2"/>
        <v>183.6</v>
      </c>
      <c r="P15" s="116">
        <f t="shared" si="3"/>
        <v>259.2</v>
      </c>
    </row>
    <row r="16" spans="2:16" ht="30" customHeight="1" x14ac:dyDescent="0.2">
      <c r="C16" s="105" t="s">
        <v>91</v>
      </c>
      <c r="D16" s="106" t="s">
        <v>92</v>
      </c>
      <c r="E16" s="183" t="s">
        <v>93</v>
      </c>
      <c r="F16" s="189" t="s">
        <v>90</v>
      </c>
      <c r="G16" s="372">
        <v>254</v>
      </c>
      <c r="H16" s="373">
        <v>261</v>
      </c>
      <c r="I16" s="121"/>
      <c r="K16" s="193">
        <f>'2026 Suttons Finish Summary'!L15</f>
        <v>235.6</v>
      </c>
      <c r="L16" s="194">
        <f>'2026 Suttons Finish Summary'!M15</f>
        <v>241.3</v>
      </c>
      <c r="M16" s="119">
        <f t="shared" si="0"/>
        <v>215.9</v>
      </c>
      <c r="N16" s="113">
        <f t="shared" si="1"/>
        <v>304.8</v>
      </c>
      <c r="O16" s="113">
        <f t="shared" si="2"/>
        <v>221.85</v>
      </c>
      <c r="P16" s="114">
        <f t="shared" si="3"/>
        <v>313.2</v>
      </c>
    </row>
    <row r="17" spans="3:16" ht="30" customHeight="1" x14ac:dyDescent="0.2">
      <c r="C17" s="107" t="s">
        <v>95</v>
      </c>
      <c r="D17" s="108" t="s">
        <v>227</v>
      </c>
      <c r="E17" s="184" t="s">
        <v>96</v>
      </c>
      <c r="F17" s="190" t="s">
        <v>94</v>
      </c>
      <c r="G17" s="372">
        <v>111</v>
      </c>
      <c r="H17" s="373">
        <v>132</v>
      </c>
      <c r="I17" s="121"/>
      <c r="K17" s="195">
        <f>'2026 Suttons Finish Summary'!L16</f>
        <v>98.7</v>
      </c>
      <c r="L17" s="196">
        <f>'2026 Suttons Finish Summary'!M16</f>
        <v>112.2</v>
      </c>
      <c r="M17" s="120">
        <f t="shared" si="0"/>
        <v>94.35</v>
      </c>
      <c r="N17" s="115">
        <f t="shared" si="1"/>
        <v>133.19999999999999</v>
      </c>
      <c r="O17" s="115">
        <f t="shared" si="2"/>
        <v>112.2</v>
      </c>
      <c r="P17" s="116">
        <f t="shared" si="3"/>
        <v>158.4</v>
      </c>
    </row>
    <row r="18" spans="3:16" ht="30" customHeight="1" x14ac:dyDescent="0.2">
      <c r="C18" s="414" t="s">
        <v>98</v>
      </c>
      <c r="D18" s="415" t="s">
        <v>99</v>
      </c>
      <c r="E18" s="416" t="s">
        <v>100</v>
      </c>
      <c r="F18" s="189" t="s">
        <v>97</v>
      </c>
      <c r="G18" s="372">
        <v>162</v>
      </c>
      <c r="H18" s="373">
        <v>171</v>
      </c>
      <c r="I18" s="121"/>
      <c r="K18" s="193">
        <f>'2026 Suttons Finish Summary'!L17</f>
        <v>157.5</v>
      </c>
      <c r="L18" s="194">
        <f>'2026 Suttons Finish Summary'!M17</f>
        <v>163.5</v>
      </c>
      <c r="M18" s="119">
        <f t="shared" si="0"/>
        <v>137.69999999999999</v>
      </c>
      <c r="N18" s="113">
        <f t="shared" si="1"/>
        <v>194.4</v>
      </c>
      <c r="O18" s="113">
        <f t="shared" si="2"/>
        <v>145.35</v>
      </c>
      <c r="P18" s="114">
        <f t="shared" si="3"/>
        <v>205.2</v>
      </c>
    </row>
    <row r="19" spans="3:16" ht="30" customHeight="1" x14ac:dyDescent="0.2">
      <c r="C19" s="109" t="s">
        <v>102</v>
      </c>
      <c r="D19" s="110" t="s">
        <v>103</v>
      </c>
      <c r="E19" s="185" t="s">
        <v>104</v>
      </c>
      <c r="F19" s="190" t="s">
        <v>101</v>
      </c>
      <c r="G19" s="370">
        <v>46</v>
      </c>
      <c r="H19" s="371">
        <v>57.8</v>
      </c>
      <c r="I19" s="121"/>
      <c r="K19" s="426">
        <f>'2026 Suttons Finish Summary'!L18</f>
        <v>46</v>
      </c>
      <c r="L19" s="427">
        <f>'2026 Suttons Finish Summary'!M18</f>
        <v>57.8</v>
      </c>
      <c r="M19" s="120">
        <f t="shared" si="0"/>
        <v>39.1</v>
      </c>
      <c r="N19" s="115">
        <f t="shared" si="1"/>
        <v>55.199999999999996</v>
      </c>
      <c r="O19" s="115">
        <f t="shared" si="2"/>
        <v>49.129999999999995</v>
      </c>
      <c r="P19" s="116">
        <f t="shared" si="3"/>
        <v>69.36</v>
      </c>
    </row>
    <row r="20" spans="3:16" ht="30" customHeight="1" thickBot="1" x14ac:dyDescent="0.25">
      <c r="C20" s="417" t="s">
        <v>106</v>
      </c>
      <c r="D20" s="418" t="s">
        <v>107</v>
      </c>
      <c r="E20" s="419" t="s">
        <v>108</v>
      </c>
      <c r="F20" s="420" t="s">
        <v>105</v>
      </c>
      <c r="G20" s="365">
        <v>162</v>
      </c>
      <c r="H20" s="366">
        <v>177</v>
      </c>
      <c r="I20" s="117"/>
      <c r="K20" s="421">
        <f>'2026 Suttons Finish Summary'!L19</f>
        <v>194.4</v>
      </c>
      <c r="L20" s="422">
        <f>'2026 Suttons Finish Summary'!M19</f>
        <v>207.2</v>
      </c>
      <c r="M20" s="423">
        <f t="shared" si="0"/>
        <v>137.69999999999999</v>
      </c>
      <c r="N20" s="424">
        <f t="shared" si="1"/>
        <v>194.4</v>
      </c>
      <c r="O20" s="424">
        <f t="shared" si="2"/>
        <v>150.44999999999999</v>
      </c>
      <c r="P20" s="425">
        <f t="shared" si="3"/>
        <v>212.4</v>
      </c>
    </row>
    <row r="22" spans="3:16" x14ac:dyDescent="0.2">
      <c r="G22" s="484" t="s">
        <v>128</v>
      </c>
      <c r="H22" s="485"/>
      <c r="I22" s="485"/>
      <c r="J22" s="485"/>
      <c r="K22" s="485"/>
    </row>
    <row r="24" spans="3:16" x14ac:dyDescent="0.2">
      <c r="E24" s="25" t="s">
        <v>129</v>
      </c>
      <c r="F24" s="186">
        <v>0.2</v>
      </c>
    </row>
    <row r="25" spans="3:16" x14ac:dyDescent="0.2">
      <c r="E25" s="25" t="s">
        <v>130</v>
      </c>
      <c r="F25" s="187">
        <v>-0.15</v>
      </c>
    </row>
    <row r="27" spans="3:16" x14ac:dyDescent="0.2">
      <c r="E27" s="484" t="s">
        <v>131</v>
      </c>
      <c r="F27" s="484"/>
      <c r="G27" s="485"/>
      <c r="H27" s="485"/>
      <c r="I27" s="485"/>
      <c r="J27" s="485"/>
      <c r="K27" s="485"/>
      <c r="L27" s="485"/>
      <c r="M27" s="485"/>
      <c r="N27" s="485"/>
      <c r="O27" s="485"/>
      <c r="P27" s="485"/>
    </row>
  </sheetData>
  <mergeCells count="9">
    <mergeCell ref="G3:H3"/>
    <mergeCell ref="G2:H2"/>
    <mergeCell ref="E27:P27"/>
    <mergeCell ref="G22:K22"/>
    <mergeCell ref="K2:P2"/>
    <mergeCell ref="K3:L3"/>
    <mergeCell ref="M3:P3"/>
    <mergeCell ref="M4:N4"/>
    <mergeCell ref="O4:P4"/>
  </mergeCells>
  <pageMargins left="0.7" right="0.7" top="0.75" bottom="0.75" header="0.3" footer="0.3"/>
  <pageSetup scale="53" orientation="landscape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84860-883E-9048-BB47-02926C967B42}">
  <sheetPr>
    <pageSetUpPr fitToPage="1"/>
  </sheetPr>
  <dimension ref="B1:AN45"/>
  <sheetViews>
    <sheetView zoomScale="85" zoomScaleNormal="85" workbookViewId="0">
      <pane xSplit="2" ySplit="3" topLeftCell="C4" activePane="bottomRight" state="frozen"/>
      <selection activeCell="S41" sqref="S41:S42"/>
      <selection pane="topRight" activeCell="S41" sqref="S41:S42"/>
      <selection pane="bottomLeft" activeCell="S41" sqref="S41:S42"/>
      <selection pane="bottomRight" activeCell="S41" sqref="S41:S42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214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#8'!AG4</f>
        <v>110.1</v>
      </c>
      <c r="G4" s="87">
        <f>$E$32/($E$25+F4)</f>
        <v>1.2573852446598999</v>
      </c>
      <c r="H4" s="132">
        <f>'Race #8'!AH4</f>
        <v>151.19999999999999</v>
      </c>
      <c r="I4" s="88">
        <f>$E$32/($E$25+H4)</f>
        <v>1.1836851112378779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 t="shared" ref="AC4:AC18" si="8">X4/$E$21</f>
        <v>0</v>
      </c>
      <c r="AD4" s="85">
        <f t="shared" ref="AD4:AD18" si="9">IF(AC4&gt;0,((X4/$E$21)-$E$30),0)</f>
        <v>0</v>
      </c>
      <c r="AE4" s="85">
        <f>IF(AD4&gt;30,30,IF(AD4&lt;-30,-30,(AD4)))</f>
        <v>0</v>
      </c>
      <c r="AF4" s="90">
        <f t="shared" ref="AF4:AF18" si="10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#8'!AI4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#8'!AG5</f>
        <v>87</v>
      </c>
      <c r="G5" s="31">
        <f t="shared" ref="G5:G18" si="11">$E$32/($E$25+F5)</f>
        <v>1.3029827315541602</v>
      </c>
      <c r="H5" s="27">
        <f>'Race #8'!AH5</f>
        <v>132</v>
      </c>
      <c r="I5" s="35">
        <f t="shared" ref="I5:I18" si="12">$E$32/($E$25+H5)</f>
        <v>1.217008797653959</v>
      </c>
      <c r="J5" s="447" t="str">
        <f t="shared" ref="J5:J18" si="13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3"/>
        <v/>
      </c>
      <c r="P5" s="140">
        <f>M5-L5</f>
        <v>0</v>
      </c>
      <c r="Q5" s="141">
        <f>HOUR(P5)*3600+MINUTE(P5)*60+SECOND(P5)</f>
        <v>0</v>
      </c>
      <c r="R5" s="142">
        <f t="shared" si="4"/>
        <v>0</v>
      </c>
      <c r="S5" s="38" t="s">
        <v>166</v>
      </c>
      <c r="T5" s="94" t="str">
        <f t="shared" ref="T5:T18" si="14">IF(N5=1,IF(S5="No",H5,F5),"")</f>
        <v/>
      </c>
      <c r="U5" s="122">
        <f t="shared" ref="U5:U18" si="15">IF(S5="No",0,((H5-F5)*$E$21))</f>
        <v>0</v>
      </c>
      <c r="V5" s="122">
        <f t="shared" ref="V5:V17" si="16">IF(S5="No",0,(-(I5-G5)*Q5))</f>
        <v>0</v>
      </c>
      <c r="W5" s="141">
        <f t="shared" ref="W5:W18" si="17">Q5-R5+U5</f>
        <v>0</v>
      </c>
      <c r="X5" s="26">
        <f t="shared" ref="X5:X18" si="18">IF(S5="Yes",Q5*G5,Q5*I5)</f>
        <v>0</v>
      </c>
      <c r="Y5" s="40" t="str">
        <f t="shared" si="5"/>
        <v/>
      </c>
      <c r="Z5" s="40" t="str">
        <f t="shared" si="6"/>
        <v/>
      </c>
      <c r="AA5" s="160" t="str">
        <f t="shared" si="7"/>
        <v/>
      </c>
      <c r="AB5" s="169">
        <f t="shared" ref="AB5:AB18" si="19">IF($E$22="Yes",IF(Y5=1,5,IF(Y5=2,4,IF(Y5=3,3,IF(Y5=4,2,IF(Y5=5,1,0))))),IF(Z5=1,5,IF(Z5=2,4,IF(Z5=3,3,IF(Z5=4,2,IF(Z5=5,1,0))))))+K5</f>
        <v>0</v>
      </c>
      <c r="AC5" s="26">
        <f t="shared" si="8"/>
        <v>0</v>
      </c>
      <c r="AD5" s="26">
        <f t="shared" si="9"/>
        <v>0</v>
      </c>
      <c r="AE5" s="26">
        <f>IF(AD5&gt;30,30,IF(AD5&lt;-30,-30,(AD5)))</f>
        <v>0</v>
      </c>
      <c r="AF5" s="47">
        <f t="shared" si="10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#8'!AI5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 t="e">
        <f>'Race #8'!AG6</f>
        <v>#REF!</v>
      </c>
      <c r="G6" s="34" t="e">
        <f t="shared" ref="G6" si="20">$E$32/($E$25+F6)</f>
        <v>#REF!</v>
      </c>
      <c r="H6" s="143" t="e">
        <f>'Race #8'!AH6</f>
        <v>#REF!</v>
      </c>
      <c r="I6" s="43" t="e">
        <f t="shared" ref="I6" si="21">$E$32/($E$25+H6)</f>
        <v>#REF!</v>
      </c>
      <c r="J6" s="450" t="str">
        <f t="shared" si="13"/>
        <v>No</v>
      </c>
      <c r="K6" s="44">
        <f t="shared" ref="K6" si="22">IF(J6="Yes",1,0)</f>
        <v>0</v>
      </c>
      <c r="L6" s="139"/>
      <c r="M6" s="139"/>
      <c r="N6" s="32">
        <f>IF(W6&gt;0,1,0)</f>
        <v>0</v>
      </c>
      <c r="O6" s="129" t="str">
        <f t="shared" si="3"/>
        <v/>
      </c>
      <c r="P6" s="144">
        <f>M6-L6</f>
        <v>0</v>
      </c>
      <c r="Q6" s="145">
        <f>HOUR(P6)*3600+MINUTE(P6)*60+SECOND(P6)</f>
        <v>0</v>
      </c>
      <c r="R6" s="146">
        <f t="shared" ref="R6" si="23">IF(M6&gt;0,($H6*$E$21),0)</f>
        <v>0</v>
      </c>
      <c r="S6" s="38" t="s">
        <v>166</v>
      </c>
      <c r="T6" s="95" t="str">
        <f t="shared" ref="T6" si="24">IF(N6=1,IF(S6="No",H6,F6),"")</f>
        <v/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0</v>
      </c>
      <c r="X6" s="32" t="e">
        <f t="shared" ref="X6" si="28">IF(S6="Yes",Q6*G6,Q6*I6)</f>
        <v>#REF!</v>
      </c>
      <c r="Y6" s="45" t="str">
        <f t="shared" si="5"/>
        <v/>
      </c>
      <c r="Z6" s="45" t="e">
        <f t="shared" si="6"/>
        <v>#REF!</v>
      </c>
      <c r="AA6" s="160" t="e">
        <f t="shared" ref="AA6" si="29">IF($E$22="Yes",Y6,Z6)</f>
        <v>#REF!</v>
      </c>
      <c r="AB6" s="169" t="e">
        <f t="shared" ref="AB6" si="30">IF($E$22="Yes",IF(Y6=1,5,IF(Y6=2,4,IF(Y6=3,3,IF(Y6=4,2,IF(Y6=5,1,0))))),IF(Z6=1,5,IF(Z6=2,4,IF(Z6=3,3,IF(Z6=4,2,IF(Z6=5,1,0))))))+K6</f>
        <v>#REF!</v>
      </c>
      <c r="AC6" s="32" t="e">
        <f t="shared" ref="AC6" si="31">X6/$E$21</f>
        <v>#REF!</v>
      </c>
      <c r="AD6" s="32" t="e">
        <f t="shared" ref="AD6" si="32">IF(AC6&gt;0,((X6/$E$21)-$E$30),0)</f>
        <v>#REF!</v>
      </c>
      <c r="AE6" s="32" t="e">
        <f>IF(AD6&gt;30,30,IF(AD6&lt;-30,-30,(AD6)))</f>
        <v>#REF!</v>
      </c>
      <c r="AF6" s="33" t="e">
        <f t="shared" ref="AF6" si="33">AE6*$E$23</f>
        <v>#REF!</v>
      </c>
      <c r="AG6" s="166" t="e">
        <f>MIN(MAX(IF(S6="Yes",F6+AF6,F6),'Roster and Starting Handicaps'!M8),'Roster and Starting Handicaps'!N8)</f>
        <v>#REF!</v>
      </c>
      <c r="AH6" s="166" t="e">
        <f>MIN(MAX(IF(S6="No",H6+AF6,H6),'Roster and Starting Handicaps'!O8,'Roster and Starting Handicaps'!P8))</f>
        <v>#REF!</v>
      </c>
      <c r="AI6" s="170" t="e">
        <f>AB6+'Race #8'!AI6</f>
        <v>#REF!</v>
      </c>
      <c r="AJ6" s="125" t="str">
        <f t="shared" ref="AJ6" si="34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#8'!AG7</f>
        <v>195</v>
      </c>
      <c r="G7" s="31">
        <f t="shared" si="11"/>
        <v>1.1140939597315436</v>
      </c>
      <c r="H7" s="27">
        <f>'Race #8'!AH7</f>
        <v>241.2</v>
      </c>
      <c r="I7" s="35">
        <f t="shared" si="12"/>
        <v>1.0490394337714863</v>
      </c>
      <c r="J7" s="447" t="str">
        <f t="shared" si="13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4"/>
        <v>0</v>
      </c>
      <c r="S7" s="38" t="s">
        <v>166</v>
      </c>
      <c r="T7" s="94" t="str">
        <f t="shared" si="14"/>
        <v/>
      </c>
      <c r="U7" s="122">
        <f t="shared" si="15"/>
        <v>0</v>
      </c>
      <c r="V7" s="122">
        <f t="shared" si="16"/>
        <v>0</v>
      </c>
      <c r="W7" s="141">
        <f t="shared" si="17"/>
        <v>0</v>
      </c>
      <c r="X7" s="26">
        <f t="shared" si="18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9"/>
        <v>0</v>
      </c>
      <c r="AC7" s="26">
        <f t="shared" si="8"/>
        <v>0</v>
      </c>
      <c r="AD7" s="26">
        <f t="shared" si="9"/>
        <v>0</v>
      </c>
      <c r="AE7" s="26">
        <f t="shared" ref="AE7:AE18" si="37">IF(AD7&gt;30,30,IF(AD7&lt;-30,-30,(AD7)))</f>
        <v>0</v>
      </c>
      <c r="AF7" s="47">
        <f t="shared" si="10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#8'!AI7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#8'!AG8</f>
        <v>164.2</v>
      </c>
      <c r="G8" s="34">
        <f t="shared" si="11"/>
        <v>1.162139456734808</v>
      </c>
      <c r="H8" s="143">
        <f>'Race #8'!AH8</f>
        <v>202.79999999999998</v>
      </c>
      <c r="I8" s="43">
        <f t="shared" si="12"/>
        <v>1.1025504782146653</v>
      </c>
      <c r="J8" s="450" t="str">
        <f t="shared" si="13"/>
        <v>No</v>
      </c>
      <c r="K8" s="44">
        <f t="shared" si="1"/>
        <v>0</v>
      </c>
      <c r="L8" s="139"/>
      <c r="M8" s="139"/>
      <c r="N8" s="32">
        <f>IF(W8&gt;0,1,0)</f>
        <v>0</v>
      </c>
      <c r="O8" s="129" t="str">
        <f t="shared" si="3"/>
        <v/>
      </c>
      <c r="P8" s="144">
        <f>M8-L8</f>
        <v>0</v>
      </c>
      <c r="Q8" s="145">
        <f>HOUR(P8)*3600+MINUTE(P8)*60+SECOND(P8)</f>
        <v>0</v>
      </c>
      <c r="R8" s="146">
        <f t="shared" si="4"/>
        <v>0</v>
      </c>
      <c r="S8" s="38" t="s">
        <v>166</v>
      </c>
      <c r="T8" s="95" t="str">
        <f t="shared" si="14"/>
        <v/>
      </c>
      <c r="U8" s="147">
        <f t="shared" si="15"/>
        <v>0</v>
      </c>
      <c r="V8" s="147">
        <f t="shared" si="16"/>
        <v>0</v>
      </c>
      <c r="W8" s="145">
        <f t="shared" si="17"/>
        <v>0</v>
      </c>
      <c r="X8" s="32">
        <f t="shared" si="18"/>
        <v>0</v>
      </c>
      <c r="Y8" s="45" t="str">
        <f t="shared" si="5"/>
        <v/>
      </c>
      <c r="Z8" s="45" t="str">
        <f t="shared" si="6"/>
        <v/>
      </c>
      <c r="AA8" s="160" t="str">
        <f t="shared" si="7"/>
        <v/>
      </c>
      <c r="AB8" s="169">
        <f t="shared" si="19"/>
        <v>0</v>
      </c>
      <c r="AC8" s="32">
        <f t="shared" si="8"/>
        <v>0</v>
      </c>
      <c r="AD8" s="32">
        <f t="shared" si="9"/>
        <v>0</v>
      </c>
      <c r="AE8" s="32">
        <f>IF(AD8&gt;30,30,IF(AD8&lt;-30,-30,(AD8)))</f>
        <v>0</v>
      </c>
      <c r="AF8" s="33">
        <f t="shared" si="10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#8'!AI8</f>
        <v>10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#8'!AG9</f>
        <v>194.4</v>
      </c>
      <c r="G9" s="31">
        <f t="shared" si="11"/>
        <v>1.1149919398173025</v>
      </c>
      <c r="H9" s="27">
        <f>'Race #8'!AH9</f>
        <v>215.4</v>
      </c>
      <c r="I9" s="35">
        <f t="shared" si="12"/>
        <v>1.0844003135615365</v>
      </c>
      <c r="J9" s="447" t="str">
        <f t="shared" si="13"/>
        <v>No</v>
      </c>
      <c r="K9" s="36">
        <f t="shared" si="1"/>
        <v>0</v>
      </c>
      <c r="L9" s="139"/>
      <c r="M9" s="139"/>
      <c r="N9" s="26">
        <f t="shared" si="2"/>
        <v>0</v>
      </c>
      <c r="O9" s="129" t="str">
        <f t="shared" si="3"/>
        <v/>
      </c>
      <c r="P9" s="140">
        <f t="shared" si="35"/>
        <v>0</v>
      </c>
      <c r="Q9" s="141">
        <f t="shared" si="36"/>
        <v>0</v>
      </c>
      <c r="R9" s="142">
        <f t="shared" si="4"/>
        <v>0</v>
      </c>
      <c r="S9" s="38" t="s">
        <v>166</v>
      </c>
      <c r="T9" s="94" t="str">
        <f t="shared" si="14"/>
        <v/>
      </c>
      <c r="U9" s="122">
        <f t="shared" si="15"/>
        <v>0</v>
      </c>
      <c r="V9" s="122">
        <f t="shared" si="16"/>
        <v>0</v>
      </c>
      <c r="W9" s="141">
        <f t="shared" si="17"/>
        <v>0</v>
      </c>
      <c r="X9" s="26">
        <f t="shared" si="18"/>
        <v>0</v>
      </c>
      <c r="Y9" s="40" t="str">
        <f t="shared" si="5"/>
        <v/>
      </c>
      <c r="Z9" s="40" t="str">
        <f t="shared" si="6"/>
        <v/>
      </c>
      <c r="AA9" s="160" t="str">
        <f t="shared" si="7"/>
        <v/>
      </c>
      <c r="AB9" s="169">
        <f t="shared" si="19"/>
        <v>0</v>
      </c>
      <c r="AC9" s="26">
        <f t="shared" si="8"/>
        <v>0</v>
      </c>
      <c r="AD9" s="26">
        <f t="shared" si="9"/>
        <v>0</v>
      </c>
      <c r="AE9" s="26">
        <f t="shared" si="37"/>
        <v>0</v>
      </c>
      <c r="AF9" s="47">
        <f t="shared" si="10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215.4</v>
      </c>
      <c r="AI9" s="170">
        <f>AB9+'Race #8'!AI9</f>
        <v>9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#8'!AG10</f>
        <v>162</v>
      </c>
      <c r="G10" s="34">
        <f t="shared" si="11"/>
        <v>1.1657303370786516</v>
      </c>
      <c r="H10" s="143">
        <f>'Race #8'!AH10</f>
        <v>190.79999999999998</v>
      </c>
      <c r="I10" s="43">
        <f t="shared" si="12"/>
        <v>1.1204103671706265</v>
      </c>
      <c r="J10" s="450" t="str">
        <f t="shared" si="13"/>
        <v>No</v>
      </c>
      <c r="K10" s="44">
        <f t="shared" si="1"/>
        <v>0</v>
      </c>
      <c r="L10" s="139"/>
      <c r="M10" s="139"/>
      <c r="N10" s="32">
        <f t="shared" si="2"/>
        <v>0</v>
      </c>
      <c r="O10" s="129" t="str">
        <f t="shared" si="3"/>
        <v/>
      </c>
      <c r="P10" s="144">
        <f t="shared" si="35"/>
        <v>0</v>
      </c>
      <c r="Q10" s="145">
        <f t="shared" si="36"/>
        <v>0</v>
      </c>
      <c r="R10" s="146">
        <f t="shared" si="4"/>
        <v>0</v>
      </c>
      <c r="S10" s="38" t="s">
        <v>166</v>
      </c>
      <c r="T10" s="95" t="str">
        <f t="shared" si="14"/>
        <v/>
      </c>
      <c r="U10" s="147">
        <f t="shared" si="15"/>
        <v>0</v>
      </c>
      <c r="V10" s="147">
        <f t="shared" si="16"/>
        <v>0</v>
      </c>
      <c r="W10" s="145">
        <f t="shared" si="17"/>
        <v>0</v>
      </c>
      <c r="X10" s="32">
        <f t="shared" si="18"/>
        <v>0</v>
      </c>
      <c r="Y10" s="45" t="str">
        <f t="shared" si="5"/>
        <v/>
      </c>
      <c r="Z10" s="45" t="str">
        <f t="shared" si="6"/>
        <v/>
      </c>
      <c r="AA10" s="160" t="str">
        <f t="shared" si="7"/>
        <v/>
      </c>
      <c r="AB10" s="169">
        <f t="shared" si="19"/>
        <v>0</v>
      </c>
      <c r="AC10" s="32">
        <f t="shared" si="8"/>
        <v>0</v>
      </c>
      <c r="AD10" s="32">
        <f t="shared" si="9"/>
        <v>0</v>
      </c>
      <c r="AE10" s="32">
        <f t="shared" si="37"/>
        <v>0</v>
      </c>
      <c r="AF10" s="33">
        <f t="shared" si="10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#8'!AI10</f>
        <v>13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#8'!AG11</f>
        <v>280</v>
      </c>
      <c r="G11" s="31">
        <f t="shared" ref="G11" si="38">$E$32/($E$25+F11)</f>
        <v>1</v>
      </c>
      <c r="H11" s="27">
        <f>'Race #8'!AH11</f>
        <v>345.59999999999997</v>
      </c>
      <c r="I11" s="35">
        <f t="shared" ref="I11" si="39">$E$32/($E$25+H11)</f>
        <v>0.92675301473872274</v>
      </c>
      <c r="J11" s="447" t="str">
        <f t="shared" si="13"/>
        <v>No</v>
      </c>
      <c r="K11" s="36">
        <f t="shared" si="1"/>
        <v>0</v>
      </c>
      <c r="L11" s="139"/>
      <c r="M11" s="139"/>
      <c r="N11" s="26">
        <f t="shared" si="2"/>
        <v>1</v>
      </c>
      <c r="O11" s="129" t="str">
        <f t="shared" si="3"/>
        <v/>
      </c>
      <c r="P11" s="140">
        <f t="shared" ref="P11" si="40">M11-L11</f>
        <v>0</v>
      </c>
      <c r="Q11" s="141">
        <f t="shared" ref="Q11" si="41">HOUR(P11)*3600+MINUTE(P11)*60+SECOND(P11)</f>
        <v>0</v>
      </c>
      <c r="R11" s="142">
        <f t="shared" ref="R11" si="42">IF(M11&gt;0,($H11*$E$21),0)</f>
        <v>0</v>
      </c>
      <c r="S11" s="38"/>
      <c r="T11" s="94">
        <f t="shared" ref="T11" si="43">IF(N11=1,IF(S11="No",H11,F11),"")</f>
        <v>280</v>
      </c>
      <c r="U11" s="122">
        <f t="shared" ref="U11" si="44">IF(S11="No",0,((H11-F11)*$E$21))</f>
        <v>327.67199999999985</v>
      </c>
      <c r="V11" s="122">
        <f t="shared" ref="V11" si="45">IF(S11="No",0,(-(I11-G11)*Q11))</f>
        <v>0</v>
      </c>
      <c r="W11" s="141">
        <f t="shared" ref="W11" si="46">Q11-R11+U11</f>
        <v>327.67199999999985</v>
      </c>
      <c r="X11" s="26">
        <f t="shared" ref="X11" si="47">IF(S11="Yes",Q11*G11,Q11*I11)</f>
        <v>0</v>
      </c>
      <c r="Y11" s="40">
        <f t="shared" si="5"/>
        <v>1</v>
      </c>
      <c r="Z11" s="40" t="str">
        <f t="shared" si="6"/>
        <v/>
      </c>
      <c r="AA11" s="160" t="str">
        <f t="shared" ref="AA11" si="48">IF($E$22="Yes",Y11,Z11)</f>
        <v/>
      </c>
      <c r="AB11" s="169">
        <f t="shared" ref="AB11" si="49">IF($E$22="Yes",IF(Y11=1,5,IF(Y11=2,4,IF(Y11=3,3,IF(Y11=4,2,IF(Y11=5,1,0))))),IF(Z11=1,5,IF(Z11=2,4,IF(Z11=3,3,IF(Z11=4,2,IF(Z11=5,1,0))))))+K11</f>
        <v>0</v>
      </c>
      <c r="AC11" s="26">
        <f t="shared" ref="AC11" si="50">X11/$E$21</f>
        <v>0</v>
      </c>
      <c r="AD11" s="26">
        <f t="shared" ref="AD11" si="51">IF(AC11&gt;0,((X11/$E$21)-$E$30),0)</f>
        <v>0</v>
      </c>
      <c r="AE11" s="26">
        <f t="shared" ref="AE11" si="52">IF(AD11&gt;30,30,IF(AD11&lt;-30,-30,(AD11)))</f>
        <v>0</v>
      </c>
      <c r="AF11" s="47">
        <f t="shared" ref="AF11" si="53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#8'!AI11</f>
        <v>8</v>
      </c>
      <c r="AJ11" s="91" t="str">
        <f t="shared" ref="AJ11" si="54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#8'!AG12</f>
        <v>270</v>
      </c>
      <c r="G12" s="34">
        <f t="shared" si="11"/>
        <v>1.0121951219512195</v>
      </c>
      <c r="H12" s="143">
        <f>'Race #8'!AH12</f>
        <v>288</v>
      </c>
      <c r="I12" s="43">
        <f t="shared" si="12"/>
        <v>0.99045346062052508</v>
      </c>
      <c r="J12" s="450" t="str">
        <f t="shared" si="13"/>
        <v>No</v>
      </c>
      <c r="K12" s="44">
        <f t="shared" si="1"/>
        <v>0</v>
      </c>
      <c r="L12" s="139"/>
      <c r="M12" s="139"/>
      <c r="N12" s="32">
        <f t="shared" si="2"/>
        <v>0</v>
      </c>
      <c r="O12" s="129" t="str">
        <f t="shared" si="3"/>
        <v/>
      </c>
      <c r="P12" s="144">
        <f t="shared" si="35"/>
        <v>0</v>
      </c>
      <c r="Q12" s="145">
        <f t="shared" si="36"/>
        <v>0</v>
      </c>
      <c r="R12" s="146">
        <f t="shared" si="4"/>
        <v>0</v>
      </c>
      <c r="S12" s="38" t="s">
        <v>166</v>
      </c>
      <c r="T12" s="95" t="str">
        <f t="shared" si="14"/>
        <v/>
      </c>
      <c r="U12" s="147">
        <f t="shared" si="15"/>
        <v>0</v>
      </c>
      <c r="V12" s="147">
        <f t="shared" si="16"/>
        <v>0</v>
      </c>
      <c r="W12" s="145">
        <f t="shared" si="17"/>
        <v>0</v>
      </c>
      <c r="X12" s="32">
        <f t="shared" si="18"/>
        <v>0</v>
      </c>
      <c r="Y12" s="45" t="str">
        <f t="shared" si="5"/>
        <v/>
      </c>
      <c r="Z12" s="45" t="str">
        <f t="shared" si="6"/>
        <v/>
      </c>
      <c r="AA12" s="160" t="str">
        <f t="shared" si="7"/>
        <v/>
      </c>
      <c r="AB12" s="169">
        <f t="shared" si="19"/>
        <v>0</v>
      </c>
      <c r="AC12" s="32">
        <f t="shared" si="8"/>
        <v>0</v>
      </c>
      <c r="AD12" s="32">
        <f t="shared" si="9"/>
        <v>0</v>
      </c>
      <c r="AE12" s="32">
        <f t="shared" si="37"/>
        <v>0</v>
      </c>
      <c r="AF12" s="33">
        <f t="shared" si="10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#8'!AI12</f>
        <v>9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#8'!AG13</f>
        <v>218.4</v>
      </c>
      <c r="G13" s="31">
        <f t="shared" si="11"/>
        <v>1.0801665799062989</v>
      </c>
      <c r="H13" s="27">
        <f>'Race #8'!AH13</f>
        <v>259.2</v>
      </c>
      <c r="I13" s="35">
        <f t="shared" si="12"/>
        <v>1.0257043994068216</v>
      </c>
      <c r="J13" s="447" t="str">
        <f t="shared" si="13"/>
        <v>No</v>
      </c>
      <c r="K13" s="36">
        <f t="shared" si="1"/>
        <v>0</v>
      </c>
      <c r="L13" s="139"/>
      <c r="M13" s="139"/>
      <c r="N13" s="26">
        <f t="shared" si="2"/>
        <v>0</v>
      </c>
      <c r="O13" s="129" t="str">
        <f t="shared" si="3"/>
        <v/>
      </c>
      <c r="P13" s="140">
        <f t="shared" si="35"/>
        <v>0</v>
      </c>
      <c r="Q13" s="141">
        <f t="shared" si="36"/>
        <v>0</v>
      </c>
      <c r="R13" s="142">
        <f t="shared" si="4"/>
        <v>0</v>
      </c>
      <c r="S13" s="38" t="s">
        <v>166</v>
      </c>
      <c r="T13" s="94" t="str">
        <f t="shared" si="14"/>
        <v/>
      </c>
      <c r="U13" s="122">
        <f t="shared" si="15"/>
        <v>0</v>
      </c>
      <c r="V13" s="122">
        <f t="shared" si="16"/>
        <v>0</v>
      </c>
      <c r="W13" s="141">
        <f t="shared" si="17"/>
        <v>0</v>
      </c>
      <c r="X13" s="26">
        <f t="shared" si="18"/>
        <v>0</v>
      </c>
      <c r="Y13" s="40" t="str">
        <f t="shared" si="5"/>
        <v/>
      </c>
      <c r="Z13" s="40" t="str">
        <f t="shared" si="6"/>
        <v/>
      </c>
      <c r="AA13" s="160" t="str">
        <f t="shared" si="7"/>
        <v/>
      </c>
      <c r="AB13" s="169">
        <f t="shared" si="19"/>
        <v>0</v>
      </c>
      <c r="AC13" s="26">
        <f t="shared" si="8"/>
        <v>0</v>
      </c>
      <c r="AD13" s="26">
        <f t="shared" si="9"/>
        <v>0</v>
      </c>
      <c r="AE13" s="26">
        <f t="shared" si="37"/>
        <v>0</v>
      </c>
      <c r="AF13" s="47">
        <f t="shared" si="10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#8'!AI13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#8'!AG14</f>
        <v>235.6</v>
      </c>
      <c r="G14" s="34">
        <f t="shared" si="11"/>
        <v>1.0565173116089612</v>
      </c>
      <c r="H14" s="143">
        <f>'Race #8'!AH14</f>
        <v>313.2</v>
      </c>
      <c r="I14" s="43">
        <f t="shared" si="12"/>
        <v>0.96153846153846145</v>
      </c>
      <c r="J14" s="450" t="str">
        <f t="shared" si="13"/>
        <v>No</v>
      </c>
      <c r="K14" s="44">
        <f t="shared" si="1"/>
        <v>0</v>
      </c>
      <c r="L14" s="139"/>
      <c r="M14" s="139"/>
      <c r="N14" s="32">
        <f t="shared" si="2"/>
        <v>0</v>
      </c>
      <c r="O14" s="129" t="str">
        <f t="shared" si="3"/>
        <v/>
      </c>
      <c r="P14" s="144">
        <f t="shared" si="35"/>
        <v>0</v>
      </c>
      <c r="Q14" s="145">
        <f>HOUR(P14)*3600+MINUTE(P14)*60+SECOND(P14)</f>
        <v>0</v>
      </c>
      <c r="R14" s="146">
        <f t="shared" si="4"/>
        <v>0</v>
      </c>
      <c r="S14" s="38" t="s">
        <v>166</v>
      </c>
      <c r="T14" s="95" t="str">
        <f t="shared" si="14"/>
        <v/>
      </c>
      <c r="U14" s="147">
        <f t="shared" si="15"/>
        <v>0</v>
      </c>
      <c r="V14" s="147">
        <f t="shared" si="16"/>
        <v>0</v>
      </c>
      <c r="W14" s="145">
        <f t="shared" si="17"/>
        <v>0</v>
      </c>
      <c r="X14" s="32">
        <f t="shared" si="18"/>
        <v>0</v>
      </c>
      <c r="Y14" s="45" t="str">
        <f t="shared" si="5"/>
        <v/>
      </c>
      <c r="Z14" s="45" t="str">
        <f t="shared" si="6"/>
        <v/>
      </c>
      <c r="AA14" s="160" t="str">
        <f t="shared" si="7"/>
        <v/>
      </c>
      <c r="AB14" s="169">
        <f t="shared" si="19"/>
        <v>0</v>
      </c>
      <c r="AC14" s="32">
        <f t="shared" si="8"/>
        <v>0</v>
      </c>
      <c r="AD14" s="32">
        <f t="shared" si="9"/>
        <v>0</v>
      </c>
      <c r="AE14" s="32">
        <f t="shared" si="37"/>
        <v>0</v>
      </c>
      <c r="AF14" s="33">
        <f t="shared" si="10"/>
        <v>0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#8'!AI14</f>
        <v>18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#8'!AG15</f>
        <v>101.7</v>
      </c>
      <c r="G15" s="31">
        <f t="shared" si="11"/>
        <v>1.2735921436243669</v>
      </c>
      <c r="H15" s="27">
        <f>'Race #8'!AH15</f>
        <v>158.4</v>
      </c>
      <c r="I15" s="35">
        <f t="shared" si="12"/>
        <v>1.1716544325239977</v>
      </c>
      <c r="J15" s="447" t="str">
        <f t="shared" si="13"/>
        <v>No</v>
      </c>
      <c r="K15" s="36">
        <f t="shared" si="1"/>
        <v>0</v>
      </c>
      <c r="L15" s="139"/>
      <c r="M15" s="139"/>
      <c r="N15" s="26">
        <f t="shared" si="2"/>
        <v>0</v>
      </c>
      <c r="O15" s="129" t="str">
        <f t="shared" si="3"/>
        <v/>
      </c>
      <c r="P15" s="140">
        <f t="shared" si="35"/>
        <v>0</v>
      </c>
      <c r="Q15" s="141">
        <f t="shared" si="36"/>
        <v>0</v>
      </c>
      <c r="R15" s="142">
        <f t="shared" si="4"/>
        <v>0</v>
      </c>
      <c r="S15" s="38" t="s">
        <v>166</v>
      </c>
      <c r="T15" s="408" t="str">
        <f t="shared" si="14"/>
        <v/>
      </c>
      <c r="U15" s="122">
        <f t="shared" si="15"/>
        <v>0</v>
      </c>
      <c r="V15" s="122">
        <f t="shared" si="16"/>
        <v>0</v>
      </c>
      <c r="W15" s="141">
        <f t="shared" si="17"/>
        <v>0</v>
      </c>
      <c r="X15" s="26">
        <f t="shared" si="18"/>
        <v>0</v>
      </c>
      <c r="Y15" s="40" t="str">
        <f t="shared" si="5"/>
        <v/>
      </c>
      <c r="Z15" s="40" t="str">
        <f t="shared" si="6"/>
        <v/>
      </c>
      <c r="AA15" s="160" t="str">
        <f t="shared" si="7"/>
        <v/>
      </c>
      <c r="AB15" s="169">
        <f t="shared" si="19"/>
        <v>0</v>
      </c>
      <c r="AC15" s="26">
        <f t="shared" si="8"/>
        <v>0</v>
      </c>
      <c r="AD15" s="26">
        <f t="shared" si="9"/>
        <v>0</v>
      </c>
      <c r="AE15" s="26">
        <f t="shared" si="37"/>
        <v>0</v>
      </c>
      <c r="AF15" s="47">
        <f t="shared" si="10"/>
        <v>0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#8'!AI15</f>
        <v>1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#8'!AG16</f>
        <v>157.5</v>
      </c>
      <c r="G16" s="34">
        <f t="shared" si="11"/>
        <v>1.1731448763250882</v>
      </c>
      <c r="H16" s="143">
        <f>'Race #8'!AH16</f>
        <v>205.2</v>
      </c>
      <c r="I16" s="43">
        <f t="shared" si="12"/>
        <v>1.0990466101694916</v>
      </c>
      <c r="J16" s="450" t="str">
        <f t="shared" si="13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5"/>
        <v>0</v>
      </c>
      <c r="Q16" s="145">
        <f t="shared" si="36"/>
        <v>0</v>
      </c>
      <c r="R16" s="146">
        <f t="shared" si="4"/>
        <v>0</v>
      </c>
      <c r="S16" s="38" t="s">
        <v>166</v>
      </c>
      <c r="T16" s="95" t="str">
        <f t="shared" si="14"/>
        <v/>
      </c>
      <c r="U16" s="147">
        <f t="shared" si="15"/>
        <v>0</v>
      </c>
      <c r="V16" s="147">
        <f t="shared" si="16"/>
        <v>0</v>
      </c>
      <c r="W16" s="145">
        <f t="shared" si="17"/>
        <v>0</v>
      </c>
      <c r="X16" s="32">
        <f t="shared" si="18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9"/>
        <v>0</v>
      </c>
      <c r="AC16" s="32">
        <f t="shared" si="8"/>
        <v>0</v>
      </c>
      <c r="AD16" s="32">
        <f t="shared" si="9"/>
        <v>0</v>
      </c>
      <c r="AE16" s="32">
        <f t="shared" si="37"/>
        <v>0</v>
      </c>
      <c r="AF16" s="33">
        <f t="shared" si="10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#8'!AI16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 t="e">
        <f>'Race #8'!AG17</f>
        <v>#REF!</v>
      </c>
      <c r="G17" s="401" t="e">
        <f t="shared" si="11"/>
        <v>#REF!</v>
      </c>
      <c r="H17" s="400" t="e">
        <f>'Race #8'!AH17</f>
        <v>#REF!</v>
      </c>
      <c r="I17" s="402" t="e">
        <f t="shared" si="12"/>
        <v>#REF!</v>
      </c>
      <c r="J17" s="448" t="str">
        <f t="shared" si="13"/>
        <v>No</v>
      </c>
      <c r="K17" s="403">
        <f t="shared" si="1"/>
        <v>0</v>
      </c>
      <c r="L17" s="150"/>
      <c r="M17" s="150"/>
      <c r="N17" s="404">
        <f>IF(W17&gt;0,1,0)</f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4"/>
        <v/>
      </c>
      <c r="U17" s="409">
        <f t="shared" si="15"/>
        <v>0</v>
      </c>
      <c r="V17" s="409">
        <f t="shared" si="16"/>
        <v>0</v>
      </c>
      <c r="W17" s="406">
        <f t="shared" si="17"/>
        <v>0</v>
      </c>
      <c r="X17" s="404" t="e">
        <f t="shared" si="18"/>
        <v>#REF!</v>
      </c>
      <c r="Y17" s="410" t="str">
        <f t="shared" si="5"/>
        <v/>
      </c>
      <c r="Z17" s="411" t="e">
        <f t="shared" si="6"/>
        <v>#REF!</v>
      </c>
      <c r="AA17" s="161" t="e">
        <f t="shared" si="7"/>
        <v>#REF!</v>
      </c>
      <c r="AB17" s="161" t="e">
        <f t="shared" si="19"/>
        <v>#REF!</v>
      </c>
      <c r="AC17" s="404" t="e">
        <f t="shared" si="8"/>
        <v>#REF!</v>
      </c>
      <c r="AD17" s="404" t="e">
        <f t="shared" si="9"/>
        <v>#REF!</v>
      </c>
      <c r="AE17" s="404" t="e">
        <f>IF(AD17&gt;30,30,IF(AD17&lt;-30,-30,(AD17)))</f>
        <v>#REF!</v>
      </c>
      <c r="AF17" s="412" t="e">
        <f t="shared" si="10"/>
        <v>#REF!</v>
      </c>
      <c r="AG17" s="413" t="e">
        <f>MIN(MAX(IF(S17="Yes",F17+AF17,F17),'Roster and Starting Handicaps'!M19),'Roster and Starting Handicaps'!N19)</f>
        <v>#REF!</v>
      </c>
      <c r="AH17" s="413" t="e">
        <f>MIN(MAX(IF(S17="No",H17+AF17,H17),'Roster and Starting Handicaps'!O19,'Roster and Starting Handicaps'!P19))</f>
        <v>#REF!</v>
      </c>
      <c r="AI17" s="171" t="e">
        <f>AB17+'Race #8'!AI17</f>
        <v>#REF!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#8'!AG18</f>
        <v>194.4</v>
      </c>
      <c r="G18" s="431">
        <f t="shared" si="11"/>
        <v>1.1149919398173025</v>
      </c>
      <c r="H18" s="430">
        <f>'Race #8'!AH18</f>
        <v>212.4</v>
      </c>
      <c r="I18" s="432">
        <f t="shared" si="12"/>
        <v>1.0886673662119624</v>
      </c>
      <c r="J18" s="451" t="str">
        <f t="shared" si="13"/>
        <v>No</v>
      </c>
      <c r="K18" s="433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5"/>
        <v>0</v>
      </c>
      <c r="Q18" s="436">
        <f t="shared" si="36"/>
        <v>0</v>
      </c>
      <c r="R18" s="437">
        <f t="shared" si="4"/>
        <v>0</v>
      </c>
      <c r="S18" s="39" t="s">
        <v>166</v>
      </c>
      <c r="T18" s="438" t="str">
        <f t="shared" si="14"/>
        <v/>
      </c>
      <c r="U18" s="439">
        <f t="shared" si="15"/>
        <v>0</v>
      </c>
      <c r="V18" s="439">
        <f>IF(S18="No",0,(-(I18-G18)*Q18))</f>
        <v>0</v>
      </c>
      <c r="W18" s="436">
        <f t="shared" si="17"/>
        <v>0</v>
      </c>
      <c r="X18" s="434">
        <f t="shared" si="18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9"/>
        <v>0</v>
      </c>
      <c r="AC18" s="434">
        <f t="shared" si="8"/>
        <v>0</v>
      </c>
      <c r="AD18" s="434">
        <f t="shared" si="9"/>
        <v>0</v>
      </c>
      <c r="AE18" s="434">
        <f t="shared" si="37"/>
        <v>0</v>
      </c>
      <c r="AF18" s="441">
        <f t="shared" si="10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Handicaps'!O20,'Roster and Starting Handicaps'!P20))</f>
        <v>212.4</v>
      </c>
      <c r="AI18" s="173">
        <f>AB18+'Race #8'!AI18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v>4.9950000000000001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512" t="s">
        <v>172</v>
      </c>
      <c r="Q21" s="513"/>
      <c r="U21" s="58" t="s">
        <v>173</v>
      </c>
      <c r="W21" s="58" t="s">
        <v>174</v>
      </c>
      <c r="Z21" s="199" t="s">
        <v>175</v>
      </c>
      <c r="AA21" s="52"/>
      <c r="AD21" s="58" t="s">
        <v>215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e">
        <f>IF($E$28&gt;0,VLOOKUP(1,$AA$4:$AJ$18,10,FALSE),"")</f>
        <v>#N/A</v>
      </c>
      <c r="J22" s="348"/>
      <c r="K22" s="463" t="str" cm="1">
        <f t="array" ref="K22">IFERROR(VLOOKUP(I22,$B$4:$X$18,23,0)-_xlfn.MINIFS($X$4:$X$18,$X$4:$X$18,"&gt;0"),"")</f>
        <v/>
      </c>
      <c r="L22" s="464"/>
      <c r="M22" s="463" t="str">
        <f>IFERROR(VLOOKUP(I22,$B$4:$W$18,22,0)-_xlfn.MINIFS($W$4:$W$18,$W$4:$W$18,"&gt;0"),"")</f>
        <v/>
      </c>
      <c r="N22" s="467"/>
      <c r="P22" s="79" t="s">
        <v>109</v>
      </c>
      <c r="Q22" s="79" t="s">
        <v>178</v>
      </c>
      <c r="U22" t="s">
        <v>180</v>
      </c>
      <c r="V22" t="s">
        <v>205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/>
      </c>
      <c r="H23" s="453"/>
      <c r="I23" s="458" t="str">
        <f>IF($E$28&gt;1,VLOOKUP(2,$AA$4:$AJ$18,10,FALSE),"")</f>
        <v/>
      </c>
      <c r="J23" s="459"/>
      <c r="K23" s="463" t="str">
        <f>IFERROR(VLOOKUP(I23,$B$4:$X$18,23,0)-_xlfn.MINIFS($X$4:$X$18,$X$4:$X$18,"&gt;0"),"")</f>
        <v/>
      </c>
      <c r="L23" s="464"/>
      <c r="M23" s="463" t="str">
        <f t="shared" ref="M23:M33" si="55">IFERROR(VLOOKUP(I23,$B$4:$W$18,22,0)-_xlfn.MINIFS($W$4:$W$18,$W$4:$W$18,"&gt;0"),"")</f>
        <v/>
      </c>
      <c r="N23" s="467"/>
      <c r="P23" s="80">
        <v>2</v>
      </c>
      <c r="Q23" s="81">
        <v>1</v>
      </c>
      <c r="U23" s="380" t="s">
        <v>180</v>
      </c>
      <c r="V23" s="380" t="s">
        <v>216</v>
      </c>
      <c r="W23" s="381"/>
      <c r="X23" s="71"/>
      <c r="Y23" s="71"/>
      <c r="Z23" s="71"/>
      <c r="AA23" s="382"/>
      <c r="AD23" s="380" t="s">
        <v>231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182</v>
      </c>
      <c r="G24" s="452" t="str">
        <f>IF(E28&gt;2,"Third Place","")</f>
        <v/>
      </c>
      <c r="H24" s="453"/>
      <c r="I24" s="458" t="str">
        <f>IF($E$28&gt;2,VLOOKUP(3,$AA$4:$AJ$18,10,FALSE),"")</f>
        <v/>
      </c>
      <c r="J24" s="459"/>
      <c r="K24" s="463" t="str">
        <f t="shared" ref="K24:K33" si="56">IFERROR(VLOOKUP(I24,$B$4:$X$18,23,0)-_xlfn.MINIFS($X$4:$X$18,$X$4:$X$18,"&gt;0"),"")</f>
        <v/>
      </c>
      <c r="L24" s="464"/>
      <c r="M24" s="463" t="str">
        <f t="shared" si="55"/>
        <v/>
      </c>
      <c r="N24" s="467"/>
      <c r="P24" s="82">
        <v>3</v>
      </c>
      <c r="Q24" s="72">
        <v>2</v>
      </c>
      <c r="U24" s="380" t="s">
        <v>216</v>
      </c>
      <c r="V24" s="380" t="s">
        <v>180</v>
      </c>
      <c r="W24" s="381"/>
      <c r="X24" s="71"/>
      <c r="Y24" s="71"/>
      <c r="Z24" s="71"/>
      <c r="AA24" s="382"/>
      <c r="AD24" s="380"/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550</v>
      </c>
      <c r="G25" s="452" t="str">
        <f>IF(E28&gt;3,"Fourth Place","")</f>
        <v/>
      </c>
      <c r="H25" s="453"/>
      <c r="I25" s="458" t="str">
        <f>IF($E$28&gt;3,VLOOKUP(4,$AA$4:$AJ$18,10,FALSE),"")</f>
        <v/>
      </c>
      <c r="J25" s="459"/>
      <c r="K25" s="463" t="str">
        <f t="shared" si="56"/>
        <v/>
      </c>
      <c r="L25" s="464"/>
      <c r="M25" s="463" t="str">
        <f t="shared" si="55"/>
        <v/>
      </c>
      <c r="N25" s="467"/>
      <c r="P25" s="82">
        <v>4</v>
      </c>
      <c r="Q25" s="72">
        <v>2</v>
      </c>
      <c r="U25" s="380"/>
      <c r="V25" s="380"/>
      <c r="W25" s="381"/>
      <c r="X25" s="71"/>
      <c r="Y25" s="71"/>
      <c r="Z25" s="71"/>
      <c r="AA25" s="382"/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/>
      </c>
      <c r="H26" s="453"/>
      <c r="I26" s="458" t="str">
        <f>IF($E$28&gt;4,VLOOKUP(5,$AA$4:$AJ$18,10,FALSE),"")</f>
        <v/>
      </c>
      <c r="J26" s="459"/>
      <c r="K26" s="463" t="str">
        <f t="shared" si="56"/>
        <v/>
      </c>
      <c r="L26" s="464"/>
      <c r="M26" s="463" t="str">
        <f t="shared" si="55"/>
        <v/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0</v>
      </c>
      <c r="G27" s="452" t="str">
        <f>IF($E$28&gt;5,"Sixth Place","")</f>
        <v/>
      </c>
      <c r="H27" s="453"/>
      <c r="I27" s="458" t="str">
        <f>IF($E$28&gt;5,VLOOKUP(6,$AA$4:$AJ$18,10,FALSE),"")</f>
        <v/>
      </c>
      <c r="J27" s="459"/>
      <c r="K27" s="463" t="str">
        <f t="shared" si="56"/>
        <v/>
      </c>
      <c r="L27" s="464"/>
      <c r="M27" s="463" t="str">
        <f t="shared" si="55"/>
        <v/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1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63" t="str">
        <f t="shared" si="56"/>
        <v/>
      </c>
      <c r="L28" s="464"/>
      <c r="M28" s="463" t="str">
        <f t="shared" si="55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 t="e">
        <f>VLOOKUP(E28,P23:Q33,2,FALSE)</f>
        <v>#N/A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63" t="str">
        <f t="shared" si="56"/>
        <v/>
      </c>
      <c r="L29" s="464"/>
      <c r="M29" s="463" t="str">
        <f t="shared" si="55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 t="e">
        <f>VLOOKUP(E29,Z4:AC18,4,FALSE)</f>
        <v>#N/A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280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X31" s="353">
        <v>6.6509999999999998</v>
      </c>
      <c r="Z31" s="25" t="s">
        <v>189</v>
      </c>
      <c r="AA31" s="200">
        <f>SUM(AA22:AA30)</f>
        <v>0</v>
      </c>
    </row>
    <row r="32" spans="2:37" ht="18" customHeight="1" x14ac:dyDescent="0.2">
      <c r="D32" s="56" t="s">
        <v>190</v>
      </c>
      <c r="E32" s="377">
        <f>E25+E31</f>
        <v>830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0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7" priority="3" operator="equal">
      <formula>1</formula>
    </cfRule>
  </conditionalFormatting>
  <conditionalFormatting sqref="S4:T14 S15 S16:T18">
    <cfRule type="cellIs" dxfId="6" priority="1" operator="equal">
      <formula>"Yes"</formula>
    </cfRule>
  </conditionalFormatting>
  <dataValidations disablePrompts="1" count="2">
    <dataValidation type="list" allowBlank="1" showInputMessage="1" showErrorMessage="1" sqref="J4:J18 S4:S18 E22 E26" xr:uid="{CCD8A389-67F4-F149-980C-8B1C23554C90}">
      <formula1>$AN$4:$AN$5</formula1>
    </dataValidation>
    <dataValidation type="list" allowBlank="1" showInputMessage="1" showErrorMessage="1" sqref="E24" xr:uid="{0C235AF7-EF5C-4EDD-B76D-D752E55C5F16}">
      <formula1>$I$37:$I$39</formula1>
    </dataValidation>
  </dataValidations>
  <printOptions horizontalCentered="1"/>
  <pageMargins left="0.7" right="0.7" top="0.75" bottom="0.75" header="0.3" footer="0.3"/>
  <pageSetup paperSize="9" scale="55" fitToWidth="2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50E5A-194E-D846-932D-CBA748B29E12}">
  <sheetPr>
    <pageSetUpPr fitToPage="1"/>
  </sheetPr>
  <dimension ref="B1:AN45"/>
  <sheetViews>
    <sheetView zoomScale="90" zoomScaleNormal="90" workbookViewId="0">
      <selection activeCell="S41" sqref="S41:S42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217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#9'!AG4</f>
        <v>110.1</v>
      </c>
      <c r="G4" s="87">
        <f>$E$32/($E$25+F4)</f>
        <v>1.2573852446598999</v>
      </c>
      <c r="H4" s="132">
        <f>'Race #9'!AH4</f>
        <v>151.19999999999999</v>
      </c>
      <c r="I4" s="88">
        <f>$E$32/($E$25+H4)</f>
        <v>1.1836851112378779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 t="shared" ref="AC4:AC18" si="8">X4/$E$21</f>
        <v>0</v>
      </c>
      <c r="AD4" s="85">
        <f t="shared" ref="AD4:AD18" si="9">IF(AC4&gt;0,((X4/$E$21)-$E$30),0)</f>
        <v>0</v>
      </c>
      <c r="AE4" s="85">
        <f>IF(AD4&gt;30,30,IF(AD4&lt;-30,-30,(AD4)))</f>
        <v>0</v>
      </c>
      <c r="AF4" s="90">
        <f t="shared" ref="AF4:AF18" si="10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#9'!AI4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#9'!AG5</f>
        <v>87</v>
      </c>
      <c r="G5" s="31">
        <f t="shared" ref="G5:G18" si="11">$E$32/($E$25+F5)</f>
        <v>1.3029827315541602</v>
      </c>
      <c r="H5" s="27">
        <f>'Race #9'!AH5</f>
        <v>132</v>
      </c>
      <c r="I5" s="35">
        <f t="shared" ref="I5:I18" si="12">$E$32/($E$25+H5)</f>
        <v>1.217008797653959</v>
      </c>
      <c r="J5" s="447" t="str">
        <f t="shared" ref="J5:J18" si="13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3"/>
        <v/>
      </c>
      <c r="P5" s="140">
        <f>M5-L5</f>
        <v>0</v>
      </c>
      <c r="Q5" s="141">
        <f>HOUR(P5)*3600+MINUTE(P5)*60+SECOND(P5)</f>
        <v>0</v>
      </c>
      <c r="R5" s="142">
        <f t="shared" si="4"/>
        <v>0</v>
      </c>
      <c r="S5" s="38" t="s">
        <v>166</v>
      </c>
      <c r="T5" s="94" t="str">
        <f t="shared" ref="T5:T18" si="14">IF(N5=1,IF(S5="No",H5,F5),"")</f>
        <v/>
      </c>
      <c r="U5" s="122">
        <f t="shared" ref="U5:U18" si="15">IF(S5="No",0,((H5-F5)*$E$21))</f>
        <v>0</v>
      </c>
      <c r="V5" s="122">
        <f t="shared" ref="V5:V17" si="16">IF(S5="No",0,(-(I5-G5)*Q5))</f>
        <v>0</v>
      </c>
      <c r="W5" s="141">
        <f t="shared" ref="W5:W18" si="17">Q5-R5+U5</f>
        <v>0</v>
      </c>
      <c r="X5" s="26">
        <f t="shared" ref="X5:X18" si="18">IF(S5="Yes",Q5*G5,Q5*I5)</f>
        <v>0</v>
      </c>
      <c r="Y5" s="40" t="str">
        <f t="shared" si="5"/>
        <v/>
      </c>
      <c r="Z5" s="40" t="str">
        <f t="shared" si="6"/>
        <v/>
      </c>
      <c r="AA5" s="160" t="str">
        <f t="shared" si="7"/>
        <v/>
      </c>
      <c r="AB5" s="169">
        <f t="shared" ref="AB5:AB18" si="19">IF($E$22="Yes",IF(Y5=1,5,IF(Y5=2,4,IF(Y5=3,3,IF(Y5=4,2,IF(Y5=5,1,0))))),IF(Z5=1,5,IF(Z5=2,4,IF(Z5=3,3,IF(Z5=4,2,IF(Z5=5,1,0))))))+K5</f>
        <v>0</v>
      </c>
      <c r="AC5" s="26">
        <f t="shared" si="8"/>
        <v>0</v>
      </c>
      <c r="AD5" s="26">
        <f t="shared" si="9"/>
        <v>0</v>
      </c>
      <c r="AE5" s="26">
        <f>IF(AD5&gt;30,30,IF(AD5&lt;-30,-30,(AD5)))</f>
        <v>0</v>
      </c>
      <c r="AF5" s="47">
        <f t="shared" si="10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#9'!AI5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 t="e">
        <f>'Race #9'!AG6</f>
        <v>#REF!</v>
      </c>
      <c r="G6" s="34" t="e">
        <f t="shared" ref="G6" si="20">$E$32/($E$25+F6)</f>
        <v>#REF!</v>
      </c>
      <c r="H6" s="143" t="e">
        <f>'Race #9'!AH6</f>
        <v>#REF!</v>
      </c>
      <c r="I6" s="43" t="e">
        <f t="shared" ref="I6" si="21">$E$32/($E$25+H6)</f>
        <v>#REF!</v>
      </c>
      <c r="J6" s="450" t="str">
        <f t="shared" si="13"/>
        <v>No</v>
      </c>
      <c r="K6" s="44">
        <f t="shared" ref="K6" si="22">IF(J6="Yes",1,0)</f>
        <v>0</v>
      </c>
      <c r="L6" s="139"/>
      <c r="M6" s="139"/>
      <c r="N6" s="32">
        <f>IF(W6&gt;0,1,0)</f>
        <v>0</v>
      </c>
      <c r="O6" s="129" t="str">
        <f t="shared" si="3"/>
        <v/>
      </c>
      <c r="P6" s="144">
        <f>M6-L6</f>
        <v>0</v>
      </c>
      <c r="Q6" s="145">
        <f>HOUR(P6)*3600+MINUTE(P6)*60+SECOND(P6)</f>
        <v>0</v>
      </c>
      <c r="R6" s="146">
        <f t="shared" ref="R6" si="23">IF(M6&gt;0,($H6*$E$21),0)</f>
        <v>0</v>
      </c>
      <c r="S6" s="38" t="s">
        <v>166</v>
      </c>
      <c r="T6" s="95" t="str">
        <f t="shared" ref="T6" si="24">IF(N6=1,IF(S6="No",H6,F6),"")</f>
        <v/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0</v>
      </c>
      <c r="X6" s="32" t="e">
        <f t="shared" ref="X6" si="28">IF(S6="Yes",Q6*G6,Q6*I6)</f>
        <v>#REF!</v>
      </c>
      <c r="Y6" s="45" t="str">
        <f t="shared" si="5"/>
        <v/>
      </c>
      <c r="Z6" s="45" t="e">
        <f t="shared" si="6"/>
        <v>#REF!</v>
      </c>
      <c r="AA6" s="160" t="e">
        <f t="shared" ref="AA6" si="29">IF($E$22="Yes",Y6,Z6)</f>
        <v>#REF!</v>
      </c>
      <c r="AB6" s="169" t="e">
        <f t="shared" ref="AB6" si="30">IF($E$22="Yes",IF(Y6=1,5,IF(Y6=2,4,IF(Y6=3,3,IF(Y6=4,2,IF(Y6=5,1,0))))),IF(Z6=1,5,IF(Z6=2,4,IF(Z6=3,3,IF(Z6=4,2,IF(Z6=5,1,0))))))+K6</f>
        <v>#REF!</v>
      </c>
      <c r="AC6" s="32" t="e">
        <f t="shared" ref="AC6" si="31">X6/$E$21</f>
        <v>#REF!</v>
      </c>
      <c r="AD6" s="32" t="e">
        <f t="shared" ref="AD6" si="32">IF(AC6&gt;0,((X6/$E$21)-$E$30),0)</f>
        <v>#REF!</v>
      </c>
      <c r="AE6" s="32" t="e">
        <f>IF(AD6&gt;30,30,IF(AD6&lt;-30,-30,(AD6)))</f>
        <v>#REF!</v>
      </c>
      <c r="AF6" s="33" t="e">
        <f t="shared" ref="AF6" si="33">AE6*$E$23</f>
        <v>#REF!</v>
      </c>
      <c r="AG6" s="166" t="e">
        <f>MIN(MAX(IF(S6="Yes",F6+AF6,F6),'Roster and Starting Handicaps'!M8),'Roster and Starting Handicaps'!N8)</f>
        <v>#REF!</v>
      </c>
      <c r="AH6" s="166" t="e">
        <f>MIN(MAX(IF(S6="No",H6+AF6,H6),'Roster and Starting Handicaps'!O8,'Roster and Starting Handicaps'!P8))</f>
        <v>#REF!</v>
      </c>
      <c r="AI6" s="170" t="e">
        <f>AB6+'Race #9'!AI6</f>
        <v>#REF!</v>
      </c>
      <c r="AJ6" s="125" t="str">
        <f t="shared" ref="AJ6" si="34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#9'!AG7</f>
        <v>195</v>
      </c>
      <c r="G7" s="31">
        <f t="shared" si="11"/>
        <v>1.1140939597315436</v>
      </c>
      <c r="H7" s="27">
        <f>'Race #9'!AH7</f>
        <v>241.2</v>
      </c>
      <c r="I7" s="35">
        <f t="shared" si="12"/>
        <v>1.0490394337714863</v>
      </c>
      <c r="J7" s="447" t="str">
        <f t="shared" si="13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4"/>
        <v>0</v>
      </c>
      <c r="S7" s="38" t="s">
        <v>166</v>
      </c>
      <c r="T7" s="94" t="str">
        <f t="shared" si="14"/>
        <v/>
      </c>
      <c r="U7" s="122">
        <f t="shared" si="15"/>
        <v>0</v>
      </c>
      <c r="V7" s="122">
        <f t="shared" si="16"/>
        <v>0</v>
      </c>
      <c r="W7" s="141">
        <f t="shared" si="17"/>
        <v>0</v>
      </c>
      <c r="X7" s="26">
        <f t="shared" si="18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9"/>
        <v>0</v>
      </c>
      <c r="AC7" s="26">
        <f t="shared" si="8"/>
        <v>0</v>
      </c>
      <c r="AD7" s="26">
        <f t="shared" si="9"/>
        <v>0</v>
      </c>
      <c r="AE7" s="26">
        <f t="shared" ref="AE7:AE18" si="37">IF(AD7&gt;30,30,IF(AD7&lt;-30,-30,(AD7)))</f>
        <v>0</v>
      </c>
      <c r="AF7" s="47">
        <f t="shared" si="10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#9'!AI7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#9'!AG8</f>
        <v>164.2</v>
      </c>
      <c r="G8" s="34">
        <f t="shared" si="11"/>
        <v>1.162139456734808</v>
      </c>
      <c r="H8" s="143">
        <f>'Race #9'!AH8</f>
        <v>202.79999999999998</v>
      </c>
      <c r="I8" s="43">
        <f t="shared" si="12"/>
        <v>1.1025504782146653</v>
      </c>
      <c r="J8" s="450" t="str">
        <f t="shared" si="13"/>
        <v>No</v>
      </c>
      <c r="K8" s="44">
        <f t="shared" si="1"/>
        <v>0</v>
      </c>
      <c r="L8" s="139"/>
      <c r="M8" s="139"/>
      <c r="N8" s="32">
        <f>IF(W8&gt;0,1,0)</f>
        <v>0</v>
      </c>
      <c r="O8" s="129" t="str">
        <f t="shared" si="3"/>
        <v/>
      </c>
      <c r="P8" s="144">
        <f>M8-L8</f>
        <v>0</v>
      </c>
      <c r="Q8" s="145">
        <f>HOUR(P8)*3600+MINUTE(P8)*60+SECOND(P8)</f>
        <v>0</v>
      </c>
      <c r="R8" s="146">
        <f t="shared" si="4"/>
        <v>0</v>
      </c>
      <c r="S8" s="38" t="s">
        <v>166</v>
      </c>
      <c r="T8" s="95" t="str">
        <f t="shared" si="14"/>
        <v/>
      </c>
      <c r="U8" s="147">
        <f t="shared" si="15"/>
        <v>0</v>
      </c>
      <c r="V8" s="147">
        <f t="shared" si="16"/>
        <v>0</v>
      </c>
      <c r="W8" s="145">
        <f t="shared" si="17"/>
        <v>0</v>
      </c>
      <c r="X8" s="32">
        <f t="shared" si="18"/>
        <v>0</v>
      </c>
      <c r="Y8" s="45" t="str">
        <f t="shared" si="5"/>
        <v/>
      </c>
      <c r="Z8" s="45" t="str">
        <f t="shared" si="6"/>
        <v/>
      </c>
      <c r="AA8" s="160" t="str">
        <f t="shared" si="7"/>
        <v/>
      </c>
      <c r="AB8" s="169">
        <f t="shared" si="19"/>
        <v>0</v>
      </c>
      <c r="AC8" s="32">
        <f t="shared" si="8"/>
        <v>0</v>
      </c>
      <c r="AD8" s="32">
        <f t="shared" si="9"/>
        <v>0</v>
      </c>
      <c r="AE8" s="32">
        <f>IF(AD8&gt;30,30,IF(AD8&lt;-30,-30,(AD8)))</f>
        <v>0</v>
      </c>
      <c r="AF8" s="33">
        <f t="shared" si="10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#9'!AI8</f>
        <v>10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#9'!AG9</f>
        <v>194.4</v>
      </c>
      <c r="G9" s="31">
        <f t="shared" si="11"/>
        <v>1.1149919398173025</v>
      </c>
      <c r="H9" s="27">
        <f>'Race #9'!AH9</f>
        <v>215.4</v>
      </c>
      <c r="I9" s="35">
        <f t="shared" si="12"/>
        <v>1.0844003135615365</v>
      </c>
      <c r="J9" s="447" t="str">
        <f t="shared" si="13"/>
        <v>No</v>
      </c>
      <c r="K9" s="36">
        <f t="shared" si="1"/>
        <v>0</v>
      </c>
      <c r="L9" s="139"/>
      <c r="M9" s="139"/>
      <c r="N9" s="26">
        <f t="shared" si="2"/>
        <v>0</v>
      </c>
      <c r="O9" s="129" t="str">
        <f t="shared" si="3"/>
        <v/>
      </c>
      <c r="P9" s="140">
        <f t="shared" si="35"/>
        <v>0</v>
      </c>
      <c r="Q9" s="141">
        <f t="shared" si="36"/>
        <v>0</v>
      </c>
      <c r="R9" s="142">
        <f t="shared" si="4"/>
        <v>0</v>
      </c>
      <c r="S9" s="38" t="s">
        <v>166</v>
      </c>
      <c r="T9" s="94" t="str">
        <f t="shared" si="14"/>
        <v/>
      </c>
      <c r="U9" s="122">
        <f t="shared" si="15"/>
        <v>0</v>
      </c>
      <c r="V9" s="122">
        <f t="shared" si="16"/>
        <v>0</v>
      </c>
      <c r="W9" s="141">
        <f t="shared" si="17"/>
        <v>0</v>
      </c>
      <c r="X9" s="26">
        <f t="shared" si="18"/>
        <v>0</v>
      </c>
      <c r="Y9" s="40" t="str">
        <f t="shared" si="5"/>
        <v/>
      </c>
      <c r="Z9" s="40" t="str">
        <f t="shared" si="6"/>
        <v/>
      </c>
      <c r="AA9" s="160" t="str">
        <f t="shared" si="7"/>
        <v/>
      </c>
      <c r="AB9" s="169">
        <f t="shared" si="19"/>
        <v>0</v>
      </c>
      <c r="AC9" s="26">
        <f t="shared" si="8"/>
        <v>0</v>
      </c>
      <c r="AD9" s="26">
        <f t="shared" si="9"/>
        <v>0</v>
      </c>
      <c r="AE9" s="26">
        <f t="shared" si="37"/>
        <v>0</v>
      </c>
      <c r="AF9" s="47">
        <f t="shared" si="10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215.4</v>
      </c>
      <c r="AI9" s="170">
        <f>AB9+'Race #9'!AI9</f>
        <v>9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#9'!AG10</f>
        <v>162</v>
      </c>
      <c r="G10" s="34">
        <f t="shared" si="11"/>
        <v>1.1657303370786516</v>
      </c>
      <c r="H10" s="143">
        <f>'Race #9'!AH10</f>
        <v>190.79999999999998</v>
      </c>
      <c r="I10" s="43">
        <f t="shared" si="12"/>
        <v>1.1204103671706265</v>
      </c>
      <c r="J10" s="450" t="str">
        <f t="shared" si="13"/>
        <v>No</v>
      </c>
      <c r="K10" s="44">
        <f t="shared" si="1"/>
        <v>0</v>
      </c>
      <c r="L10" s="139"/>
      <c r="M10" s="139"/>
      <c r="N10" s="32">
        <f t="shared" si="2"/>
        <v>0</v>
      </c>
      <c r="O10" s="129" t="str">
        <f t="shared" si="3"/>
        <v/>
      </c>
      <c r="P10" s="144">
        <f t="shared" si="35"/>
        <v>0</v>
      </c>
      <c r="Q10" s="145">
        <f t="shared" si="36"/>
        <v>0</v>
      </c>
      <c r="R10" s="146">
        <f t="shared" si="4"/>
        <v>0</v>
      </c>
      <c r="S10" s="38" t="s">
        <v>166</v>
      </c>
      <c r="T10" s="95" t="str">
        <f t="shared" si="14"/>
        <v/>
      </c>
      <c r="U10" s="147">
        <f t="shared" si="15"/>
        <v>0</v>
      </c>
      <c r="V10" s="147">
        <f t="shared" si="16"/>
        <v>0</v>
      </c>
      <c r="W10" s="145">
        <f t="shared" si="17"/>
        <v>0</v>
      </c>
      <c r="X10" s="32">
        <f t="shared" si="18"/>
        <v>0</v>
      </c>
      <c r="Y10" s="45" t="str">
        <f t="shared" si="5"/>
        <v/>
      </c>
      <c r="Z10" s="45" t="str">
        <f t="shared" si="6"/>
        <v/>
      </c>
      <c r="AA10" s="160" t="str">
        <f t="shared" si="7"/>
        <v/>
      </c>
      <c r="AB10" s="169">
        <f t="shared" si="19"/>
        <v>0</v>
      </c>
      <c r="AC10" s="32">
        <f t="shared" si="8"/>
        <v>0</v>
      </c>
      <c r="AD10" s="32">
        <f t="shared" si="9"/>
        <v>0</v>
      </c>
      <c r="AE10" s="32">
        <f t="shared" si="37"/>
        <v>0</v>
      </c>
      <c r="AF10" s="33">
        <f t="shared" si="10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#9'!AI10</f>
        <v>13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#9'!AG11</f>
        <v>280</v>
      </c>
      <c r="G11" s="31">
        <f t="shared" ref="G11" si="38">$E$32/($E$25+F11)</f>
        <v>1</v>
      </c>
      <c r="H11" s="27">
        <f>'Race #9'!AH11</f>
        <v>345.59999999999997</v>
      </c>
      <c r="I11" s="35">
        <f t="shared" ref="I11" si="39">$E$32/($E$25+H11)</f>
        <v>0.92675301473872274</v>
      </c>
      <c r="J11" s="447" t="str">
        <f t="shared" si="13"/>
        <v>No</v>
      </c>
      <c r="K11" s="36">
        <f t="shared" si="1"/>
        <v>0</v>
      </c>
      <c r="L11" s="139"/>
      <c r="M11" s="139"/>
      <c r="N11" s="26">
        <f t="shared" si="2"/>
        <v>1</v>
      </c>
      <c r="O11" s="129" t="str">
        <f t="shared" si="3"/>
        <v/>
      </c>
      <c r="P11" s="140">
        <f t="shared" ref="P11" si="40">M11-L11</f>
        <v>0</v>
      </c>
      <c r="Q11" s="141">
        <f t="shared" ref="Q11" si="41">HOUR(P11)*3600+MINUTE(P11)*60+SECOND(P11)</f>
        <v>0</v>
      </c>
      <c r="R11" s="142">
        <f t="shared" ref="R11" si="42">IF(M11&gt;0,($H11*$E$21),0)</f>
        <v>0</v>
      </c>
      <c r="S11" s="38"/>
      <c r="T11" s="94">
        <f t="shared" ref="T11" si="43">IF(N11=1,IF(S11="No",H11,F11),"")</f>
        <v>280</v>
      </c>
      <c r="U11" s="122">
        <f t="shared" ref="U11" si="44">IF(S11="No",0,((H11-F11)*$E$21))</f>
        <v>327.63920747004863</v>
      </c>
      <c r="V11" s="122">
        <f t="shared" ref="V11" si="45">IF(S11="No",0,(-(I11-G11)*Q11))</f>
        <v>0</v>
      </c>
      <c r="W11" s="141">
        <f t="shared" ref="W11" si="46">Q11-R11+U11</f>
        <v>327.63920747004863</v>
      </c>
      <c r="X11" s="26">
        <f t="shared" ref="X11" si="47">IF(S11="Yes",Q11*G11,Q11*I11)</f>
        <v>0</v>
      </c>
      <c r="Y11" s="40">
        <f t="shared" si="5"/>
        <v>1</v>
      </c>
      <c r="Z11" s="40" t="str">
        <f t="shared" si="6"/>
        <v/>
      </c>
      <c r="AA11" s="160" t="str">
        <f t="shared" ref="AA11" si="48">IF($E$22="Yes",Y11,Z11)</f>
        <v/>
      </c>
      <c r="AB11" s="169">
        <f t="shared" ref="AB11" si="49">IF($E$22="Yes",IF(Y11=1,5,IF(Y11=2,4,IF(Y11=3,3,IF(Y11=4,2,IF(Y11=5,1,0))))),IF(Z11=1,5,IF(Z11=2,4,IF(Z11=3,3,IF(Z11=4,2,IF(Z11=5,1,0))))))+K11</f>
        <v>0</v>
      </c>
      <c r="AC11" s="26">
        <f t="shared" ref="AC11" si="50">X11/$E$21</f>
        <v>0</v>
      </c>
      <c r="AD11" s="26">
        <f t="shared" ref="AD11" si="51">IF(AC11&gt;0,((X11/$E$21)-$E$30),0)</f>
        <v>0</v>
      </c>
      <c r="AE11" s="26">
        <f t="shared" ref="AE11" si="52">IF(AD11&gt;30,30,IF(AD11&lt;-30,-30,(AD11)))</f>
        <v>0</v>
      </c>
      <c r="AF11" s="47">
        <f t="shared" ref="AF11" si="53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#9'!AI11</f>
        <v>8</v>
      </c>
      <c r="AJ11" s="91" t="str">
        <f t="shared" ref="AJ11" si="54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#9'!AG12</f>
        <v>270</v>
      </c>
      <c r="G12" s="34">
        <f t="shared" si="11"/>
        <v>1.0121951219512195</v>
      </c>
      <c r="H12" s="143">
        <f>'Race #9'!AH12</f>
        <v>288</v>
      </c>
      <c r="I12" s="43">
        <f t="shared" si="12"/>
        <v>0.99045346062052508</v>
      </c>
      <c r="J12" s="450" t="str">
        <f t="shared" si="13"/>
        <v>No</v>
      </c>
      <c r="K12" s="44">
        <f t="shared" si="1"/>
        <v>0</v>
      </c>
      <c r="L12" s="139"/>
      <c r="M12" s="139"/>
      <c r="N12" s="32">
        <f t="shared" si="2"/>
        <v>0</v>
      </c>
      <c r="O12" s="129" t="str">
        <f t="shared" si="3"/>
        <v/>
      </c>
      <c r="P12" s="144">
        <f t="shared" si="35"/>
        <v>0</v>
      </c>
      <c r="Q12" s="145">
        <f t="shared" si="36"/>
        <v>0</v>
      </c>
      <c r="R12" s="146">
        <f t="shared" si="4"/>
        <v>0</v>
      </c>
      <c r="S12" s="38" t="s">
        <v>166</v>
      </c>
      <c r="T12" s="95" t="str">
        <f t="shared" si="14"/>
        <v/>
      </c>
      <c r="U12" s="147">
        <f t="shared" si="15"/>
        <v>0</v>
      </c>
      <c r="V12" s="147">
        <f t="shared" si="16"/>
        <v>0</v>
      </c>
      <c r="W12" s="145">
        <f t="shared" si="17"/>
        <v>0</v>
      </c>
      <c r="X12" s="32">
        <f t="shared" si="18"/>
        <v>0</v>
      </c>
      <c r="Y12" s="45" t="str">
        <f t="shared" si="5"/>
        <v/>
      </c>
      <c r="Z12" s="45" t="str">
        <f t="shared" si="6"/>
        <v/>
      </c>
      <c r="AA12" s="160" t="str">
        <f t="shared" si="7"/>
        <v/>
      </c>
      <c r="AB12" s="169">
        <f t="shared" si="19"/>
        <v>0</v>
      </c>
      <c r="AC12" s="32">
        <f t="shared" si="8"/>
        <v>0</v>
      </c>
      <c r="AD12" s="32">
        <f t="shared" si="9"/>
        <v>0</v>
      </c>
      <c r="AE12" s="32">
        <f t="shared" si="37"/>
        <v>0</v>
      </c>
      <c r="AF12" s="33">
        <f t="shared" si="10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#9'!AI12</f>
        <v>9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#9'!AG13</f>
        <v>218.4</v>
      </c>
      <c r="G13" s="31">
        <f t="shared" si="11"/>
        <v>1.0801665799062989</v>
      </c>
      <c r="H13" s="27">
        <f>'Race #9'!AH13</f>
        <v>259.2</v>
      </c>
      <c r="I13" s="35">
        <f t="shared" si="12"/>
        <v>1.0257043994068216</v>
      </c>
      <c r="J13" s="447" t="str">
        <f t="shared" si="13"/>
        <v>No</v>
      </c>
      <c r="K13" s="36">
        <f t="shared" si="1"/>
        <v>0</v>
      </c>
      <c r="L13" s="139"/>
      <c r="M13" s="139"/>
      <c r="N13" s="26">
        <f t="shared" si="2"/>
        <v>0</v>
      </c>
      <c r="O13" s="129" t="str">
        <f t="shared" si="3"/>
        <v/>
      </c>
      <c r="P13" s="140">
        <f t="shared" si="35"/>
        <v>0</v>
      </c>
      <c r="Q13" s="141">
        <f t="shared" si="36"/>
        <v>0</v>
      </c>
      <c r="R13" s="142">
        <f t="shared" si="4"/>
        <v>0</v>
      </c>
      <c r="S13" s="38" t="s">
        <v>166</v>
      </c>
      <c r="T13" s="94" t="str">
        <f t="shared" si="14"/>
        <v/>
      </c>
      <c r="U13" s="122">
        <f t="shared" si="15"/>
        <v>0</v>
      </c>
      <c r="V13" s="122">
        <f t="shared" si="16"/>
        <v>0</v>
      </c>
      <c r="W13" s="141">
        <f t="shared" si="17"/>
        <v>0</v>
      </c>
      <c r="X13" s="26">
        <f t="shared" si="18"/>
        <v>0</v>
      </c>
      <c r="Y13" s="40" t="str">
        <f t="shared" si="5"/>
        <v/>
      </c>
      <c r="Z13" s="40" t="str">
        <f t="shared" si="6"/>
        <v/>
      </c>
      <c r="AA13" s="160" t="str">
        <f t="shared" si="7"/>
        <v/>
      </c>
      <c r="AB13" s="169">
        <f t="shared" si="19"/>
        <v>0</v>
      </c>
      <c r="AC13" s="26">
        <f t="shared" si="8"/>
        <v>0</v>
      </c>
      <c r="AD13" s="26">
        <f t="shared" si="9"/>
        <v>0</v>
      </c>
      <c r="AE13" s="26">
        <f t="shared" si="37"/>
        <v>0</v>
      </c>
      <c r="AF13" s="47">
        <f t="shared" si="10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#9'!AI13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#9'!AG14</f>
        <v>235.6</v>
      </c>
      <c r="G14" s="34">
        <f t="shared" si="11"/>
        <v>1.0565173116089612</v>
      </c>
      <c r="H14" s="143">
        <f>'Race #9'!AH14</f>
        <v>313.2</v>
      </c>
      <c r="I14" s="43">
        <f t="shared" si="12"/>
        <v>0.96153846153846145</v>
      </c>
      <c r="J14" s="450" t="str">
        <f t="shared" si="13"/>
        <v>No</v>
      </c>
      <c r="K14" s="44">
        <f t="shared" si="1"/>
        <v>0</v>
      </c>
      <c r="L14" s="139"/>
      <c r="M14" s="139"/>
      <c r="N14" s="32">
        <f t="shared" si="2"/>
        <v>0</v>
      </c>
      <c r="O14" s="129" t="str">
        <f t="shared" si="3"/>
        <v/>
      </c>
      <c r="P14" s="144">
        <f t="shared" si="35"/>
        <v>0</v>
      </c>
      <c r="Q14" s="145">
        <f>HOUR(P14)*3600+MINUTE(P14)*60+SECOND(P14)</f>
        <v>0</v>
      </c>
      <c r="R14" s="146">
        <f t="shared" si="4"/>
        <v>0</v>
      </c>
      <c r="S14" s="38" t="s">
        <v>166</v>
      </c>
      <c r="T14" s="95" t="str">
        <f t="shared" si="14"/>
        <v/>
      </c>
      <c r="U14" s="147">
        <f t="shared" si="15"/>
        <v>0</v>
      </c>
      <c r="V14" s="147">
        <f t="shared" si="16"/>
        <v>0</v>
      </c>
      <c r="W14" s="145">
        <f t="shared" si="17"/>
        <v>0</v>
      </c>
      <c r="X14" s="32">
        <f t="shared" si="18"/>
        <v>0</v>
      </c>
      <c r="Y14" s="45" t="str">
        <f t="shared" si="5"/>
        <v/>
      </c>
      <c r="Z14" s="45" t="str">
        <f t="shared" si="6"/>
        <v/>
      </c>
      <c r="AA14" s="160" t="str">
        <f t="shared" si="7"/>
        <v/>
      </c>
      <c r="AB14" s="169">
        <f t="shared" si="19"/>
        <v>0</v>
      </c>
      <c r="AC14" s="32">
        <f t="shared" si="8"/>
        <v>0</v>
      </c>
      <c r="AD14" s="32">
        <f t="shared" si="9"/>
        <v>0</v>
      </c>
      <c r="AE14" s="32">
        <f t="shared" si="37"/>
        <v>0</v>
      </c>
      <c r="AF14" s="33">
        <f t="shared" si="10"/>
        <v>0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#9'!AI14</f>
        <v>18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#9'!AG15</f>
        <v>101.7</v>
      </c>
      <c r="G15" s="31">
        <f t="shared" si="11"/>
        <v>1.2735921436243669</v>
      </c>
      <c r="H15" s="27">
        <f>'Race #9'!AH15</f>
        <v>158.4</v>
      </c>
      <c r="I15" s="35">
        <f t="shared" si="12"/>
        <v>1.1716544325239977</v>
      </c>
      <c r="J15" s="447" t="str">
        <f t="shared" si="13"/>
        <v>No</v>
      </c>
      <c r="K15" s="36">
        <f t="shared" si="1"/>
        <v>0</v>
      </c>
      <c r="L15" s="139"/>
      <c r="M15" s="139"/>
      <c r="N15" s="26">
        <f t="shared" si="2"/>
        <v>0</v>
      </c>
      <c r="O15" s="129" t="str">
        <f t="shared" si="3"/>
        <v/>
      </c>
      <c r="P15" s="140">
        <f t="shared" si="35"/>
        <v>0</v>
      </c>
      <c r="Q15" s="141">
        <f t="shared" si="36"/>
        <v>0</v>
      </c>
      <c r="R15" s="142">
        <f t="shared" si="4"/>
        <v>0</v>
      </c>
      <c r="S15" s="38" t="s">
        <v>166</v>
      </c>
      <c r="T15" s="408" t="str">
        <f t="shared" si="14"/>
        <v/>
      </c>
      <c r="U15" s="122">
        <f t="shared" si="15"/>
        <v>0</v>
      </c>
      <c r="V15" s="122">
        <f t="shared" si="16"/>
        <v>0</v>
      </c>
      <c r="W15" s="141">
        <f t="shared" si="17"/>
        <v>0</v>
      </c>
      <c r="X15" s="26">
        <f t="shared" si="18"/>
        <v>0</v>
      </c>
      <c r="Y15" s="40" t="str">
        <f t="shared" si="5"/>
        <v/>
      </c>
      <c r="Z15" s="40" t="str">
        <f t="shared" si="6"/>
        <v/>
      </c>
      <c r="AA15" s="160" t="str">
        <f t="shared" si="7"/>
        <v/>
      </c>
      <c r="AB15" s="169">
        <f t="shared" si="19"/>
        <v>0</v>
      </c>
      <c r="AC15" s="26">
        <f t="shared" si="8"/>
        <v>0</v>
      </c>
      <c r="AD15" s="26">
        <f t="shared" si="9"/>
        <v>0</v>
      </c>
      <c r="AE15" s="26">
        <f t="shared" si="37"/>
        <v>0</v>
      </c>
      <c r="AF15" s="47">
        <f t="shared" si="10"/>
        <v>0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#9'!AI15</f>
        <v>1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#9'!AG16</f>
        <v>157.5</v>
      </c>
      <c r="G16" s="34">
        <f t="shared" si="11"/>
        <v>1.1731448763250882</v>
      </c>
      <c r="H16" s="143">
        <f>'Race #9'!AH16</f>
        <v>205.2</v>
      </c>
      <c r="I16" s="43">
        <f t="shared" si="12"/>
        <v>1.0990466101694916</v>
      </c>
      <c r="J16" s="450" t="str">
        <f t="shared" si="13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5"/>
        <v>0</v>
      </c>
      <c r="Q16" s="145">
        <f t="shared" si="36"/>
        <v>0</v>
      </c>
      <c r="R16" s="146">
        <f t="shared" si="4"/>
        <v>0</v>
      </c>
      <c r="S16" s="38" t="s">
        <v>166</v>
      </c>
      <c r="T16" s="95" t="str">
        <f t="shared" si="14"/>
        <v/>
      </c>
      <c r="U16" s="147">
        <f t="shared" si="15"/>
        <v>0</v>
      </c>
      <c r="V16" s="147">
        <f t="shared" si="16"/>
        <v>0</v>
      </c>
      <c r="W16" s="145">
        <f t="shared" si="17"/>
        <v>0</v>
      </c>
      <c r="X16" s="32">
        <f t="shared" si="18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9"/>
        <v>0</v>
      </c>
      <c r="AC16" s="32">
        <f t="shared" si="8"/>
        <v>0</v>
      </c>
      <c r="AD16" s="32">
        <f t="shared" si="9"/>
        <v>0</v>
      </c>
      <c r="AE16" s="32">
        <f t="shared" si="37"/>
        <v>0</v>
      </c>
      <c r="AF16" s="33">
        <f t="shared" si="10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#9'!AI16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 t="e">
        <f>'Race #9'!AG17</f>
        <v>#REF!</v>
      </c>
      <c r="G17" s="401" t="e">
        <f t="shared" si="11"/>
        <v>#REF!</v>
      </c>
      <c r="H17" s="400" t="e">
        <f>'Race #9'!AH17</f>
        <v>#REF!</v>
      </c>
      <c r="I17" s="402" t="e">
        <f t="shared" si="12"/>
        <v>#REF!</v>
      </c>
      <c r="J17" s="448" t="str">
        <f t="shared" si="13"/>
        <v>No</v>
      </c>
      <c r="K17" s="403">
        <f t="shared" si="1"/>
        <v>0</v>
      </c>
      <c r="L17" s="139"/>
      <c r="M17" s="139"/>
      <c r="N17" s="404">
        <f>IF(W17&gt;0,1,0)</f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4"/>
        <v/>
      </c>
      <c r="U17" s="409">
        <f t="shared" si="15"/>
        <v>0</v>
      </c>
      <c r="V17" s="409">
        <f t="shared" si="16"/>
        <v>0</v>
      </c>
      <c r="W17" s="406">
        <f t="shared" si="17"/>
        <v>0</v>
      </c>
      <c r="X17" s="404" t="e">
        <f t="shared" si="18"/>
        <v>#REF!</v>
      </c>
      <c r="Y17" s="410" t="str">
        <f t="shared" si="5"/>
        <v/>
      </c>
      <c r="Z17" s="411" t="e">
        <f t="shared" si="6"/>
        <v>#REF!</v>
      </c>
      <c r="AA17" s="161" t="e">
        <f t="shared" si="7"/>
        <v>#REF!</v>
      </c>
      <c r="AB17" s="161" t="e">
        <f t="shared" si="19"/>
        <v>#REF!</v>
      </c>
      <c r="AC17" s="404" t="e">
        <f t="shared" si="8"/>
        <v>#REF!</v>
      </c>
      <c r="AD17" s="404" t="e">
        <f t="shared" si="9"/>
        <v>#REF!</v>
      </c>
      <c r="AE17" s="404" t="e">
        <f>IF(AD17&gt;30,30,IF(AD17&lt;-30,-30,(AD17)))</f>
        <v>#REF!</v>
      </c>
      <c r="AF17" s="412" t="e">
        <f t="shared" si="10"/>
        <v>#REF!</v>
      </c>
      <c r="AG17" s="413" t="e">
        <f>MIN(MAX(IF(S17="Yes",F17+AF17,F17),'Roster and Starting Handicaps'!M19),'Roster and Starting Handicaps'!N19)</f>
        <v>#REF!</v>
      </c>
      <c r="AH17" s="413" t="e">
        <f>MIN(MAX(IF(S17="No",H17+AF17,H17),'Roster and Starting Handicaps'!O19,'Roster and Starting Handicaps'!P19))</f>
        <v>#REF!</v>
      </c>
      <c r="AI17" s="171" t="e">
        <f>AB17+'Race #9'!AI17</f>
        <v>#REF!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#9'!AG18</f>
        <v>194.4</v>
      </c>
      <c r="G18" s="431">
        <f t="shared" si="11"/>
        <v>1.1149919398173025</v>
      </c>
      <c r="H18" s="430">
        <f>'Race #9'!AH18</f>
        <v>212.4</v>
      </c>
      <c r="I18" s="432">
        <f t="shared" si="12"/>
        <v>1.0886673662119624</v>
      </c>
      <c r="J18" s="451" t="str">
        <f t="shared" si="13"/>
        <v>No</v>
      </c>
      <c r="K18" s="433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5"/>
        <v>0</v>
      </c>
      <c r="Q18" s="436">
        <f t="shared" si="36"/>
        <v>0</v>
      </c>
      <c r="R18" s="437">
        <f t="shared" si="4"/>
        <v>0</v>
      </c>
      <c r="S18" s="39" t="s">
        <v>166</v>
      </c>
      <c r="T18" s="438" t="str">
        <f t="shared" si="14"/>
        <v/>
      </c>
      <c r="U18" s="439">
        <f t="shared" si="15"/>
        <v>0</v>
      </c>
      <c r="V18" s="439">
        <f>IF(S18="No",0,(-(I18-G18)*Q18))</f>
        <v>0</v>
      </c>
      <c r="W18" s="436">
        <f t="shared" si="17"/>
        <v>0</v>
      </c>
      <c r="X18" s="434">
        <f t="shared" si="18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9"/>
        <v>0</v>
      </c>
      <c r="AC18" s="434">
        <f t="shared" si="8"/>
        <v>0</v>
      </c>
      <c r="AD18" s="434">
        <f t="shared" si="9"/>
        <v>0</v>
      </c>
      <c r="AE18" s="434">
        <f t="shared" si="37"/>
        <v>0</v>
      </c>
      <c r="AF18" s="441">
        <f t="shared" si="10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Handicaps'!O20,'Roster and Starting Handicaps'!P20))</f>
        <v>212.4</v>
      </c>
      <c r="AI18" s="173">
        <f>AB18+'Race #9'!AI18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f>AA31</f>
        <v>4.9945001138726948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e">
        <f>IF($E$28&gt;0,VLOOKUP(1,$AA$4:$AJ$18,10,FALSE),"")</f>
        <v>#N/A</v>
      </c>
      <c r="J22" s="348"/>
      <c r="K22" s="463" t="str" cm="1">
        <f t="array" ref="K22">IFERROR(VLOOKUP(I22,$B$4:$X$18,23,0)-_xlfn.MINIFS($X$4:$X$18,$X$4:$X$18,"&gt;0"),"")</f>
        <v/>
      </c>
      <c r="L22" s="464"/>
      <c r="M22" s="463" t="str">
        <f>IFERROR(VLOOKUP(I22,$B$4:$W$18,22,0)-_xlfn.MINIFS($W$4:$W$18,$W$4:$W$18,"&gt;0"),"")</f>
        <v/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/>
      </c>
      <c r="H23" s="453"/>
      <c r="I23" s="458" t="str">
        <f>IF($E$28&gt;1,VLOOKUP(2,$AA$4:$AJ$18,10,FALSE),"")</f>
        <v/>
      </c>
      <c r="J23" s="459"/>
      <c r="K23" s="463" t="str">
        <f>IFERROR(VLOOKUP(I23,$B$4:$X$18,23,0)-_xlfn.MINIFS($X$4:$X$18,$X$4:$X$18,"&gt;0"),"")</f>
        <v/>
      </c>
      <c r="L23" s="464"/>
      <c r="M23" s="463" t="str">
        <f t="shared" ref="M23:M33" si="55">IFERROR(VLOOKUP(I23,$B$4:$W$18,22,0)-_xlfn.MINIFS($W$4:$W$18,$W$4:$W$18,"&gt;0"),"")</f>
        <v/>
      </c>
      <c r="N23" s="467"/>
      <c r="P23" s="80">
        <v>2</v>
      </c>
      <c r="Q23" s="81">
        <v>1</v>
      </c>
      <c r="U23" s="380" t="s">
        <v>180</v>
      </c>
      <c r="V23" s="380"/>
      <c r="W23" s="381" t="s">
        <v>206</v>
      </c>
      <c r="X23" s="71"/>
      <c r="Y23" s="71"/>
      <c r="Z23" s="71"/>
      <c r="AA23" s="382">
        <v>1.8379000000000001</v>
      </c>
      <c r="AD23" s="380" t="s">
        <v>231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182</v>
      </c>
      <c r="G24" s="452" t="str">
        <f>IF(E28&gt;2,"Third Place","")</f>
        <v/>
      </c>
      <c r="H24" s="453"/>
      <c r="I24" s="458" t="str">
        <f>IF($E$28&gt;2,VLOOKUP(3,$AA$4:$AJ$18,10,FALSE),"")</f>
        <v/>
      </c>
      <c r="J24" s="459"/>
      <c r="K24" s="463" t="str">
        <f t="shared" ref="K24:K33" si="56">IFERROR(VLOOKUP(I24,$B$4:$X$18,23,0)-_xlfn.MINIFS($X$4:$X$18,$X$4:$X$18,"&gt;0"),"")</f>
        <v/>
      </c>
      <c r="L24" s="464"/>
      <c r="M24" s="463" t="str">
        <f t="shared" si="55"/>
        <v/>
      </c>
      <c r="N24" s="467"/>
      <c r="P24" s="82">
        <v>3</v>
      </c>
      <c r="Q24" s="72">
        <v>2</v>
      </c>
      <c r="U24" s="380" t="s">
        <v>206</v>
      </c>
      <c r="V24" s="380"/>
      <c r="W24" s="381" t="s">
        <v>205</v>
      </c>
      <c r="X24" s="71"/>
      <c r="Y24" s="71"/>
      <c r="Z24" s="71"/>
      <c r="AA24" s="382">
        <v>1.6356001138726945</v>
      </c>
      <c r="AD24" s="380" t="s">
        <v>218</v>
      </c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550</v>
      </c>
      <c r="G25" s="452" t="str">
        <f>IF(E28&gt;3,"Fourth Place","")</f>
        <v/>
      </c>
      <c r="H25" s="453"/>
      <c r="I25" s="458" t="str">
        <f>IF($E$28&gt;3,VLOOKUP(4,$AA$4:$AJ$18,10,FALSE),"")</f>
        <v/>
      </c>
      <c r="J25" s="459"/>
      <c r="K25" s="463" t="str">
        <f t="shared" si="56"/>
        <v/>
      </c>
      <c r="L25" s="464"/>
      <c r="M25" s="463" t="str">
        <f t="shared" si="55"/>
        <v/>
      </c>
      <c r="N25" s="467"/>
      <c r="P25" s="82">
        <v>4</v>
      </c>
      <c r="Q25" s="72">
        <v>2</v>
      </c>
      <c r="U25" s="380" t="s">
        <v>205</v>
      </c>
      <c r="V25" s="380"/>
      <c r="W25" s="381" t="s">
        <v>219</v>
      </c>
      <c r="X25" s="71"/>
      <c r="Y25" s="71"/>
      <c r="Z25" s="71"/>
      <c r="AA25" s="382">
        <v>1.5209999999999999</v>
      </c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/>
      </c>
      <c r="H26" s="453"/>
      <c r="I26" s="458" t="str">
        <f>IF($E$28&gt;4,VLOOKUP(5,$AA$4:$AJ$18,10,FALSE),"")</f>
        <v/>
      </c>
      <c r="J26" s="459"/>
      <c r="K26" s="463" t="str">
        <f t="shared" si="56"/>
        <v/>
      </c>
      <c r="L26" s="464"/>
      <c r="M26" s="463" t="str">
        <f t="shared" si="55"/>
        <v/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0</v>
      </c>
      <c r="G27" s="452" t="str">
        <f>IF($E$28&gt;5,"Sixth Place","")</f>
        <v/>
      </c>
      <c r="H27" s="453"/>
      <c r="I27" s="458" t="str">
        <f>IF($E$28&gt;5,VLOOKUP(6,$AA$4:$AJ$18,10,FALSE),"")</f>
        <v/>
      </c>
      <c r="J27" s="459"/>
      <c r="K27" s="463" t="str">
        <f t="shared" si="56"/>
        <v/>
      </c>
      <c r="L27" s="464"/>
      <c r="M27" s="463" t="str">
        <f t="shared" si="55"/>
        <v/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1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63" t="str">
        <f t="shared" si="56"/>
        <v/>
      </c>
      <c r="L28" s="464"/>
      <c r="M28" s="463" t="str">
        <f t="shared" si="55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 t="e">
        <f>VLOOKUP(E28,P23:Q33,2,FALSE)</f>
        <v>#N/A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63" t="str">
        <f t="shared" si="56"/>
        <v/>
      </c>
      <c r="L29" s="464"/>
      <c r="M29" s="463" t="str">
        <f t="shared" si="55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 t="e">
        <f>VLOOKUP(E29,Z4:AC18,4,FALSE)</f>
        <v>#N/A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280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f>SUM(AA22:AA30)</f>
        <v>4.9945001138726948</v>
      </c>
    </row>
    <row r="32" spans="2:37" ht="18" customHeight="1" x14ac:dyDescent="0.2">
      <c r="D32" s="56" t="s">
        <v>190</v>
      </c>
      <c r="E32" s="377">
        <f>E25+E31</f>
        <v>830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0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5" priority="3" operator="equal">
      <formula>1</formula>
    </cfRule>
  </conditionalFormatting>
  <conditionalFormatting sqref="S4:T14 S15 S16:T18">
    <cfRule type="cellIs" dxfId="4" priority="1" operator="equal">
      <formula>"Yes"</formula>
    </cfRule>
  </conditionalFormatting>
  <dataValidations count="2">
    <dataValidation type="list" allowBlank="1" showInputMessage="1" showErrorMessage="1" sqref="J4:J18 S4:S18 E22 E26" xr:uid="{A5A09ED8-00F6-5547-93D6-B71155B3C932}">
      <formula1>$AN$4:$AN$5</formula1>
    </dataValidation>
    <dataValidation type="list" allowBlank="1" showInputMessage="1" showErrorMessage="1" sqref="E24" xr:uid="{CBC40B0B-667D-484F-AA9A-8E99E04B12FD}">
      <formula1>$I$37:$I$39</formula1>
    </dataValidation>
  </dataValidations>
  <printOptions horizontalCentered="1"/>
  <pageMargins left="0.7" right="0.7" top="0.75" bottom="0.75" header="0.3" footer="0.3"/>
  <pageSetup paperSize="9" scale="55" fitToWidth="2" orientation="landscape" r:id="rId1"/>
  <ignoredErrors>
    <ignoredError sqref="H18 H7 H4 H12:H16 H9:H10" formula="1"/>
  </ignoredError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E6F9A-AA2D-EF49-8D1A-1D319F6C7809}">
  <sheetPr>
    <pageSetUpPr fitToPage="1"/>
  </sheetPr>
  <dimension ref="B1:AN45"/>
  <sheetViews>
    <sheetView zoomScaleNormal="100" workbookViewId="0">
      <pane xSplit="1" ySplit="3" topLeftCell="B4" activePane="bottomRight" state="frozen"/>
      <selection activeCell="S41" sqref="S41:S42"/>
      <selection pane="topRight" activeCell="S41" sqref="S41:S42"/>
      <selection pane="bottomLeft" activeCell="S41" sqref="S41:S42"/>
      <selection pane="bottomRight" activeCell="S41" sqref="S41:S42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220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#10'!AG4</f>
        <v>110.1</v>
      </c>
      <c r="G4" s="87">
        <f>$E$32/($E$25+F4)</f>
        <v>1.2879173021521775</v>
      </c>
      <c r="H4" s="132">
        <f>'Race #10'!AH4</f>
        <v>151.19999999999999</v>
      </c>
      <c r="I4" s="88">
        <f>$E$32/($E$25+H4)</f>
        <v>1.2040557667934093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 t="shared" ref="AC4:AC18" si="8">X4/$E$21</f>
        <v>0</v>
      </c>
      <c r="AD4" s="85">
        <f t="shared" ref="AD4:AD18" si="9">IF(AC4&gt;0,((X4/$E$21)-$E$30),0)</f>
        <v>0</v>
      </c>
      <c r="AE4" s="85">
        <f>IF(AD4&gt;30,30,IF(AD4&lt;-30,-30,(AD4)))</f>
        <v>0</v>
      </c>
      <c r="AF4" s="90">
        <f t="shared" ref="AF4:AF18" si="10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#10'!AI4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#10'!AG5</f>
        <v>87</v>
      </c>
      <c r="G5" s="31">
        <f t="shared" ref="G5:G18" si="11">$E$32/($E$25+F5)</f>
        <v>1.3403880070546736</v>
      </c>
      <c r="H5" s="27">
        <f>'Race #10'!AH5</f>
        <v>132</v>
      </c>
      <c r="I5" s="35">
        <f t="shared" ref="I5:I18" si="12">$E$32/($E$25+H5)</f>
        <v>1.2418300653594772</v>
      </c>
      <c r="J5" s="447" t="str">
        <f t="shared" ref="J5:J18" si="13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3"/>
        <v/>
      </c>
      <c r="P5" s="140">
        <f>M5-L5</f>
        <v>0</v>
      </c>
      <c r="Q5" s="141">
        <f>HOUR(P5)*3600+MINUTE(P5)*60+SECOND(P5)</f>
        <v>0</v>
      </c>
      <c r="R5" s="142">
        <f t="shared" si="4"/>
        <v>0</v>
      </c>
      <c r="S5" s="38" t="s">
        <v>166</v>
      </c>
      <c r="T5" s="94" t="str">
        <f t="shared" ref="T5:T18" si="14">IF(N5=1,IF(S5="No",H5,F5),"")</f>
        <v/>
      </c>
      <c r="U5" s="122">
        <f t="shared" ref="U5:U18" si="15">IF(S5="No",0,((H5-F5)*$E$21))</f>
        <v>0</v>
      </c>
      <c r="V5" s="122">
        <f t="shared" ref="V5:V17" si="16">IF(S5="No",0,(-(I5-G5)*Q5))</f>
        <v>0</v>
      </c>
      <c r="W5" s="141">
        <f t="shared" ref="W5:W18" si="17">Q5-R5+U5</f>
        <v>0</v>
      </c>
      <c r="X5" s="26">
        <f t="shared" ref="X5:X18" si="18">IF(S5="Yes",Q5*G5,Q5*I5)</f>
        <v>0</v>
      </c>
      <c r="Y5" s="40" t="str">
        <f t="shared" si="5"/>
        <v/>
      </c>
      <c r="Z5" s="40" t="str">
        <f t="shared" si="6"/>
        <v/>
      </c>
      <c r="AA5" s="160" t="str">
        <f t="shared" si="7"/>
        <v/>
      </c>
      <c r="AB5" s="169">
        <f t="shared" ref="AB5:AB18" si="19">IF($E$22="Yes",IF(Y5=1,5,IF(Y5=2,4,IF(Y5=3,3,IF(Y5=4,2,IF(Y5=5,1,0))))),IF(Z5=1,5,IF(Z5=2,4,IF(Z5=3,3,IF(Z5=4,2,IF(Z5=5,1,0))))))+K5</f>
        <v>0</v>
      </c>
      <c r="AC5" s="26">
        <f t="shared" si="8"/>
        <v>0</v>
      </c>
      <c r="AD5" s="26">
        <f t="shared" si="9"/>
        <v>0</v>
      </c>
      <c r="AE5" s="26">
        <f>IF(AD5&gt;30,30,IF(AD5&lt;-30,-30,(AD5)))</f>
        <v>0</v>
      </c>
      <c r="AF5" s="47">
        <f t="shared" si="10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#10'!AI5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 t="e">
        <f>'Race #10'!AG6</f>
        <v>#REF!</v>
      </c>
      <c r="G6" s="34" t="e">
        <f t="shared" ref="G6" si="20">$E$32/($E$25+F6)</f>
        <v>#REF!</v>
      </c>
      <c r="H6" s="143" t="e">
        <f>'Race #10'!AH6</f>
        <v>#REF!</v>
      </c>
      <c r="I6" s="43" t="e">
        <f t="shared" ref="I6" si="21">$E$32/($E$25+H6)</f>
        <v>#REF!</v>
      </c>
      <c r="J6" s="450" t="str">
        <f t="shared" si="13"/>
        <v>No</v>
      </c>
      <c r="K6" s="44">
        <f t="shared" ref="K6" si="22">IF(J6="Yes",1,0)</f>
        <v>0</v>
      </c>
      <c r="L6" s="139"/>
      <c r="M6" s="139"/>
      <c r="N6" s="32">
        <f>IF(W6&gt;0,1,0)</f>
        <v>0</v>
      </c>
      <c r="O6" s="129" t="str">
        <f t="shared" si="3"/>
        <v/>
      </c>
      <c r="P6" s="144">
        <f>M6-L6</f>
        <v>0</v>
      </c>
      <c r="Q6" s="145">
        <f>HOUR(P6)*3600+MINUTE(P6)*60+SECOND(P6)</f>
        <v>0</v>
      </c>
      <c r="R6" s="146">
        <f>IF(M6&gt;0,($H6*$E$21),0)</f>
        <v>0</v>
      </c>
      <c r="S6" s="38" t="s">
        <v>166</v>
      </c>
      <c r="T6" s="95" t="str">
        <f t="shared" ref="T6" si="23">IF(N6=1,IF(S6="No",H6,F6),"")</f>
        <v/>
      </c>
      <c r="U6" s="147">
        <f t="shared" ref="U6" si="24">IF(S6="No",0,((H6-F6)*$E$21))</f>
        <v>0</v>
      </c>
      <c r="V6" s="147">
        <f t="shared" ref="V6" si="25">IF(S6="No",0,(-(I6-G6)*Q6))</f>
        <v>0</v>
      </c>
      <c r="W6" s="145">
        <f t="shared" ref="W6" si="26">Q6-R6+U6</f>
        <v>0</v>
      </c>
      <c r="X6" s="32" t="e">
        <f t="shared" ref="X6" si="27">IF(S6="Yes",Q6*G6,Q6*I6)</f>
        <v>#REF!</v>
      </c>
      <c r="Y6" s="45" t="str">
        <f t="shared" si="5"/>
        <v/>
      </c>
      <c r="Z6" s="45" t="e">
        <f t="shared" si="6"/>
        <v>#REF!</v>
      </c>
      <c r="AA6" s="160" t="e">
        <f t="shared" ref="AA6" si="28">IF($E$22="Yes",Y6,Z6)</f>
        <v>#REF!</v>
      </c>
      <c r="AB6" s="169" t="e">
        <f t="shared" ref="AB6" si="29">IF($E$22="Yes",IF(Y6=1,5,IF(Y6=2,4,IF(Y6=3,3,IF(Y6=4,2,IF(Y6=5,1,0))))),IF(Z6=1,5,IF(Z6=2,4,IF(Z6=3,3,IF(Z6=4,2,IF(Z6=5,1,0))))))+K6</f>
        <v>#REF!</v>
      </c>
      <c r="AC6" s="32" t="e">
        <f t="shared" ref="AC6" si="30">X6/$E$21</f>
        <v>#REF!</v>
      </c>
      <c r="AD6" s="32" t="e">
        <f t="shared" ref="AD6" si="31">IF(AC6&gt;0,((X6/$E$21)-$E$30),0)</f>
        <v>#REF!</v>
      </c>
      <c r="AE6" s="32" t="e">
        <f>IF(AD6&gt;30,30,IF(AD6&lt;-30,-30,(AD6)))</f>
        <v>#REF!</v>
      </c>
      <c r="AF6" s="33" t="e">
        <f t="shared" ref="AF6" si="32">AE6*$E$23</f>
        <v>#REF!</v>
      </c>
      <c r="AG6" s="166" t="e">
        <f>MIN(MAX(IF(S6="Yes",F6+AF6,F6),'Roster and Starting Handicaps'!M8),'Roster and Starting Handicaps'!N8)</f>
        <v>#REF!</v>
      </c>
      <c r="AH6" s="166" t="e">
        <f>MIN(MAX(IF(S6="No",H6+AF6,H6),'Roster and Starting Handicaps'!O8,'Roster and Starting Handicaps'!P8))</f>
        <v>#REF!</v>
      </c>
      <c r="AI6" s="170" t="e">
        <f>AB6+'Race #10'!AI6</f>
        <v>#REF!</v>
      </c>
      <c r="AJ6" s="125" t="str">
        <f t="shared" ref="AJ6" si="33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#10'!AG7</f>
        <v>195</v>
      </c>
      <c r="G7" s="31">
        <f t="shared" si="11"/>
        <v>1.125925925925926</v>
      </c>
      <c r="H7" s="27">
        <f>'Race #10'!AH7</f>
        <v>241.2</v>
      </c>
      <c r="I7" s="35">
        <f t="shared" si="12"/>
        <v>1.0537992235163616</v>
      </c>
      <c r="J7" s="447" t="str">
        <f t="shared" si="13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4">M7-L7</f>
        <v>0</v>
      </c>
      <c r="Q7" s="141">
        <f t="shared" ref="Q7:Q18" si="35">HOUR(P7)*3600+MINUTE(P7)*60+SECOND(P7)</f>
        <v>0</v>
      </c>
      <c r="R7" s="142">
        <f t="shared" si="4"/>
        <v>0</v>
      </c>
      <c r="S7" s="38" t="s">
        <v>166</v>
      </c>
      <c r="T7" s="94" t="str">
        <f t="shared" si="14"/>
        <v/>
      </c>
      <c r="U7" s="122">
        <f t="shared" si="15"/>
        <v>0</v>
      </c>
      <c r="V7" s="122">
        <f t="shared" si="16"/>
        <v>0</v>
      </c>
      <c r="W7" s="141">
        <f t="shared" si="17"/>
        <v>0</v>
      </c>
      <c r="X7" s="26">
        <f t="shared" si="18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9"/>
        <v>0</v>
      </c>
      <c r="AC7" s="26">
        <f t="shared" si="8"/>
        <v>0</v>
      </c>
      <c r="AD7" s="26">
        <f t="shared" si="9"/>
        <v>0</v>
      </c>
      <c r="AE7" s="26">
        <f t="shared" ref="AE7:AE18" si="36">IF(AD7&gt;30,30,IF(AD7&lt;-30,-30,(AD7)))</f>
        <v>0</v>
      </c>
      <c r="AF7" s="47">
        <f t="shared" si="10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#10'!AI7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#10'!AG8</f>
        <v>164.2</v>
      </c>
      <c r="G8" s="34">
        <f t="shared" si="11"/>
        <v>1.1797578391803787</v>
      </c>
      <c r="H8" s="143">
        <f>'Race #10'!AH8</f>
        <v>202.79999999999998</v>
      </c>
      <c r="I8" s="43">
        <f t="shared" si="12"/>
        <v>1.113063854715876</v>
      </c>
      <c r="J8" s="450" t="str">
        <f t="shared" si="13"/>
        <v>No</v>
      </c>
      <c r="K8" s="44">
        <f t="shared" si="1"/>
        <v>0</v>
      </c>
      <c r="L8" s="139"/>
      <c r="M8" s="139"/>
      <c r="N8" s="32">
        <f>IF(W8&gt;0,1,0)</f>
        <v>0</v>
      </c>
      <c r="O8" s="129" t="str">
        <f t="shared" si="3"/>
        <v/>
      </c>
      <c r="P8" s="144">
        <f>M8-L8</f>
        <v>0</v>
      </c>
      <c r="Q8" s="145">
        <f>HOUR(P8)*3600+MINUTE(P8)*60+SECOND(P8)</f>
        <v>0</v>
      </c>
      <c r="R8" s="146">
        <f t="shared" si="4"/>
        <v>0</v>
      </c>
      <c r="S8" s="38" t="s">
        <v>166</v>
      </c>
      <c r="T8" s="95" t="str">
        <f t="shared" si="14"/>
        <v/>
      </c>
      <c r="U8" s="147">
        <f t="shared" si="15"/>
        <v>0</v>
      </c>
      <c r="V8" s="147">
        <f t="shared" si="16"/>
        <v>0</v>
      </c>
      <c r="W8" s="145">
        <f t="shared" si="17"/>
        <v>0</v>
      </c>
      <c r="X8" s="32">
        <f t="shared" si="18"/>
        <v>0</v>
      </c>
      <c r="Y8" s="45" t="str">
        <f t="shared" si="5"/>
        <v/>
      </c>
      <c r="Z8" s="45" t="str">
        <f t="shared" si="6"/>
        <v/>
      </c>
      <c r="AA8" s="160" t="str">
        <f t="shared" si="7"/>
        <v/>
      </c>
      <c r="AB8" s="169">
        <f t="shared" si="19"/>
        <v>0</v>
      </c>
      <c r="AC8" s="32">
        <f t="shared" si="8"/>
        <v>0</v>
      </c>
      <c r="AD8" s="32">
        <f t="shared" si="9"/>
        <v>0</v>
      </c>
      <c r="AE8" s="32">
        <f>IF(AD8&gt;30,30,IF(AD8&lt;-30,-30,(AD8)))</f>
        <v>0</v>
      </c>
      <c r="AF8" s="33">
        <f t="shared" si="10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#10'!AI8</f>
        <v>10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#10'!AG9</f>
        <v>194.4</v>
      </c>
      <c r="G9" s="31">
        <f t="shared" si="11"/>
        <v>1.1269276393831555</v>
      </c>
      <c r="H9" s="27">
        <f>'Race #10'!AH9</f>
        <v>215.4</v>
      </c>
      <c r="I9" s="35">
        <f t="shared" si="12"/>
        <v>1.0928961748633881</v>
      </c>
      <c r="J9" s="447" t="str">
        <f t="shared" si="13"/>
        <v>No</v>
      </c>
      <c r="K9" s="36">
        <f t="shared" si="1"/>
        <v>0</v>
      </c>
      <c r="L9" s="139"/>
      <c r="M9" s="139"/>
      <c r="N9" s="26">
        <f t="shared" si="2"/>
        <v>0</v>
      </c>
      <c r="O9" s="129" t="str">
        <f t="shared" si="3"/>
        <v/>
      </c>
      <c r="P9" s="140">
        <f t="shared" si="34"/>
        <v>0</v>
      </c>
      <c r="Q9" s="141">
        <f t="shared" si="35"/>
        <v>0</v>
      </c>
      <c r="R9" s="142">
        <f t="shared" si="4"/>
        <v>0</v>
      </c>
      <c r="S9" s="38" t="s">
        <v>166</v>
      </c>
      <c r="T9" s="94" t="str">
        <f t="shared" si="14"/>
        <v/>
      </c>
      <c r="U9" s="122">
        <f t="shared" si="15"/>
        <v>0</v>
      </c>
      <c r="V9" s="122">
        <f t="shared" si="16"/>
        <v>0</v>
      </c>
      <c r="W9" s="141">
        <f t="shared" si="17"/>
        <v>0</v>
      </c>
      <c r="X9" s="26">
        <f t="shared" si="18"/>
        <v>0</v>
      </c>
      <c r="Y9" s="40" t="str">
        <f t="shared" si="5"/>
        <v/>
      </c>
      <c r="Z9" s="40" t="str">
        <f t="shared" si="6"/>
        <v/>
      </c>
      <c r="AA9" s="160" t="str">
        <f t="shared" si="7"/>
        <v/>
      </c>
      <c r="AB9" s="169">
        <f t="shared" si="19"/>
        <v>0</v>
      </c>
      <c r="AC9" s="26">
        <f t="shared" si="8"/>
        <v>0</v>
      </c>
      <c r="AD9" s="26">
        <f t="shared" si="9"/>
        <v>0</v>
      </c>
      <c r="AE9" s="26">
        <f t="shared" si="36"/>
        <v>0</v>
      </c>
      <c r="AF9" s="47">
        <f t="shared" si="10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215.4</v>
      </c>
      <c r="AI9" s="170">
        <f>AB9+'Race #10'!AI9</f>
        <v>9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#10'!AG10</f>
        <v>162</v>
      </c>
      <c r="G10" s="34">
        <f t="shared" si="11"/>
        <v>1.1838006230529594</v>
      </c>
      <c r="H10" s="143">
        <f>'Race #10'!AH10</f>
        <v>190.79999999999998</v>
      </c>
      <c r="I10" s="43">
        <f t="shared" si="12"/>
        <v>1.1329755515802029</v>
      </c>
      <c r="J10" s="450" t="str">
        <f t="shared" si="13"/>
        <v>No</v>
      </c>
      <c r="K10" s="44">
        <f t="shared" si="1"/>
        <v>0</v>
      </c>
      <c r="L10" s="139"/>
      <c r="M10" s="139"/>
      <c r="N10" s="32">
        <f t="shared" si="2"/>
        <v>0</v>
      </c>
      <c r="O10" s="129" t="str">
        <f t="shared" si="3"/>
        <v/>
      </c>
      <c r="P10" s="144">
        <f t="shared" si="34"/>
        <v>0</v>
      </c>
      <c r="Q10" s="145">
        <f t="shared" si="35"/>
        <v>0</v>
      </c>
      <c r="R10" s="146">
        <f t="shared" si="4"/>
        <v>0</v>
      </c>
      <c r="S10" s="38" t="s">
        <v>166</v>
      </c>
      <c r="T10" s="95" t="str">
        <f t="shared" si="14"/>
        <v/>
      </c>
      <c r="U10" s="147">
        <f t="shared" si="15"/>
        <v>0</v>
      </c>
      <c r="V10" s="147">
        <f t="shared" si="16"/>
        <v>0</v>
      </c>
      <c r="W10" s="145">
        <f t="shared" si="17"/>
        <v>0</v>
      </c>
      <c r="X10" s="32">
        <f t="shared" si="18"/>
        <v>0</v>
      </c>
      <c r="Y10" s="45" t="str">
        <f t="shared" si="5"/>
        <v/>
      </c>
      <c r="Z10" s="45" t="str">
        <f t="shared" si="6"/>
        <v/>
      </c>
      <c r="AA10" s="160" t="str">
        <f t="shared" si="7"/>
        <v/>
      </c>
      <c r="AB10" s="169">
        <f t="shared" si="19"/>
        <v>0</v>
      </c>
      <c r="AC10" s="32">
        <f t="shared" si="8"/>
        <v>0</v>
      </c>
      <c r="AD10" s="32">
        <f t="shared" si="9"/>
        <v>0</v>
      </c>
      <c r="AE10" s="32">
        <f t="shared" si="36"/>
        <v>0</v>
      </c>
      <c r="AF10" s="33">
        <f t="shared" si="10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#10'!AI10</f>
        <v>13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#10'!AG11</f>
        <v>280</v>
      </c>
      <c r="G11" s="31">
        <f t="shared" ref="G11" si="37">$E$32/($E$25+F11)</f>
        <v>1</v>
      </c>
      <c r="H11" s="27">
        <f>'Race #10'!AH11</f>
        <v>345.59999999999997</v>
      </c>
      <c r="I11" s="35">
        <f t="shared" ref="I11" si="38">$E$32/($E$25+H11)</f>
        <v>0.92054263565891481</v>
      </c>
      <c r="J11" s="447" t="str">
        <f t="shared" si="13"/>
        <v>No</v>
      </c>
      <c r="K11" s="36">
        <f t="shared" si="1"/>
        <v>0</v>
      </c>
      <c r="L11" s="139"/>
      <c r="M11" s="139"/>
      <c r="N11" s="26">
        <f t="shared" si="2"/>
        <v>1</v>
      </c>
      <c r="O11" s="129" t="str">
        <f t="shared" si="3"/>
        <v/>
      </c>
      <c r="P11" s="140">
        <f t="shared" ref="P11" si="39">M11-L11</f>
        <v>0</v>
      </c>
      <c r="Q11" s="141">
        <f t="shared" ref="Q11" si="40">HOUR(P11)*3600+MINUTE(P11)*60+SECOND(P11)</f>
        <v>0</v>
      </c>
      <c r="R11" s="142">
        <f t="shared" ref="R11" si="41">IF(M11&gt;0,($H11*$E$21),0)</f>
        <v>0</v>
      </c>
      <c r="S11" s="38"/>
      <c r="T11" s="94">
        <f t="shared" ref="T11" si="42">IF(N11=1,IF(S11="No",H11,F11),"")</f>
        <v>280</v>
      </c>
      <c r="U11" s="122">
        <f t="shared" ref="U11" si="43">IF(S11="No",0,((H11-F11)*$E$21))</f>
        <v>327.67199999999985</v>
      </c>
      <c r="V11" s="122">
        <f t="shared" ref="V11" si="44">IF(S11="No",0,(-(I11-G11)*Q11))</f>
        <v>0</v>
      </c>
      <c r="W11" s="141">
        <f t="shared" ref="W11" si="45">Q11-R11+U11</f>
        <v>327.67199999999985</v>
      </c>
      <c r="X11" s="26">
        <f t="shared" ref="X11" si="46">IF(S11="Yes",Q11*G11,Q11*I11)</f>
        <v>0</v>
      </c>
      <c r="Y11" s="40">
        <f t="shared" si="5"/>
        <v>1</v>
      </c>
      <c r="Z11" s="40" t="str">
        <f t="shared" si="6"/>
        <v/>
      </c>
      <c r="AA11" s="160" t="str">
        <f t="shared" ref="AA11" si="47">IF($E$22="Yes",Y11,Z11)</f>
        <v/>
      </c>
      <c r="AB11" s="169">
        <f t="shared" ref="AB11" si="48">IF($E$22="Yes",IF(Y11=1,5,IF(Y11=2,4,IF(Y11=3,3,IF(Y11=4,2,IF(Y11=5,1,0))))),IF(Z11=1,5,IF(Z11=2,4,IF(Z11=3,3,IF(Z11=4,2,IF(Z11=5,1,0))))))+K11</f>
        <v>0</v>
      </c>
      <c r="AC11" s="26">
        <f t="shared" ref="AC11" si="49">X11/$E$21</f>
        <v>0</v>
      </c>
      <c r="AD11" s="26">
        <f t="shared" ref="AD11" si="50">IF(AC11&gt;0,((X11/$E$21)-$E$30),0)</f>
        <v>0</v>
      </c>
      <c r="AE11" s="26">
        <f t="shared" ref="AE11" si="51">IF(AD11&gt;30,30,IF(AD11&lt;-30,-30,(AD11)))</f>
        <v>0</v>
      </c>
      <c r="AF11" s="47">
        <f t="shared" ref="AF11" si="52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#10'!AI11</f>
        <v>8</v>
      </c>
      <c r="AJ11" s="91" t="str">
        <f t="shared" ref="AJ11" si="53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#10'!AG12</f>
        <v>270</v>
      </c>
      <c r="G12" s="34">
        <f t="shared" si="11"/>
        <v>1.0133333333333334</v>
      </c>
      <c r="H12" s="143">
        <f>'Race #10'!AH12</f>
        <v>288</v>
      </c>
      <c r="I12" s="43">
        <f t="shared" si="12"/>
        <v>0.98958333333333337</v>
      </c>
      <c r="J12" s="450" t="str">
        <f t="shared" si="13"/>
        <v>No</v>
      </c>
      <c r="K12" s="44">
        <f t="shared" si="1"/>
        <v>0</v>
      </c>
      <c r="L12" s="139"/>
      <c r="M12" s="139"/>
      <c r="N12" s="32">
        <f t="shared" si="2"/>
        <v>0</v>
      </c>
      <c r="O12" s="129" t="str">
        <f t="shared" si="3"/>
        <v/>
      </c>
      <c r="P12" s="144">
        <f t="shared" si="34"/>
        <v>0</v>
      </c>
      <c r="Q12" s="145">
        <f t="shared" si="35"/>
        <v>0</v>
      </c>
      <c r="R12" s="146">
        <f t="shared" si="4"/>
        <v>0</v>
      </c>
      <c r="S12" s="38" t="s">
        <v>166</v>
      </c>
      <c r="T12" s="95" t="str">
        <f t="shared" si="14"/>
        <v/>
      </c>
      <c r="U12" s="147">
        <f t="shared" si="15"/>
        <v>0</v>
      </c>
      <c r="V12" s="147">
        <f t="shared" si="16"/>
        <v>0</v>
      </c>
      <c r="W12" s="145">
        <f t="shared" si="17"/>
        <v>0</v>
      </c>
      <c r="X12" s="32">
        <f t="shared" si="18"/>
        <v>0</v>
      </c>
      <c r="Y12" s="45" t="str">
        <f t="shared" si="5"/>
        <v/>
      </c>
      <c r="Z12" s="45" t="str">
        <f t="shared" si="6"/>
        <v/>
      </c>
      <c r="AA12" s="160" t="str">
        <f t="shared" si="7"/>
        <v/>
      </c>
      <c r="AB12" s="169">
        <f t="shared" si="19"/>
        <v>0</v>
      </c>
      <c r="AC12" s="32">
        <f t="shared" si="8"/>
        <v>0</v>
      </c>
      <c r="AD12" s="32">
        <f t="shared" si="9"/>
        <v>0</v>
      </c>
      <c r="AE12" s="32">
        <f t="shared" si="36"/>
        <v>0</v>
      </c>
      <c r="AF12" s="33">
        <f t="shared" si="10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#10'!AI12</f>
        <v>9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#10'!AG13</f>
        <v>218.4</v>
      </c>
      <c r="G13" s="31">
        <f t="shared" si="11"/>
        <v>1.0882016036655213</v>
      </c>
      <c r="H13" s="27">
        <f>'Race #10'!AH13</f>
        <v>259.2</v>
      </c>
      <c r="I13" s="35">
        <f t="shared" si="12"/>
        <v>1.028138528138528</v>
      </c>
      <c r="J13" s="447" t="str">
        <f t="shared" si="13"/>
        <v>No</v>
      </c>
      <c r="K13" s="36">
        <f t="shared" si="1"/>
        <v>0</v>
      </c>
      <c r="L13" s="139"/>
      <c r="M13" s="139"/>
      <c r="N13" s="26">
        <f t="shared" si="2"/>
        <v>0</v>
      </c>
      <c r="O13" s="129" t="str">
        <f t="shared" si="3"/>
        <v/>
      </c>
      <c r="P13" s="140">
        <f t="shared" si="34"/>
        <v>0</v>
      </c>
      <c r="Q13" s="141">
        <f t="shared" si="35"/>
        <v>0</v>
      </c>
      <c r="R13" s="142">
        <f t="shared" si="4"/>
        <v>0</v>
      </c>
      <c r="S13" s="38" t="s">
        <v>166</v>
      </c>
      <c r="T13" s="94" t="str">
        <f t="shared" si="14"/>
        <v/>
      </c>
      <c r="U13" s="122">
        <f t="shared" si="15"/>
        <v>0</v>
      </c>
      <c r="V13" s="122">
        <f t="shared" si="16"/>
        <v>0</v>
      </c>
      <c r="W13" s="141">
        <f t="shared" si="17"/>
        <v>0</v>
      </c>
      <c r="X13" s="26">
        <f t="shared" si="18"/>
        <v>0</v>
      </c>
      <c r="Y13" s="40" t="str">
        <f t="shared" si="5"/>
        <v/>
      </c>
      <c r="Z13" s="40" t="str">
        <f t="shared" si="6"/>
        <v/>
      </c>
      <c r="AA13" s="160" t="str">
        <f t="shared" si="7"/>
        <v/>
      </c>
      <c r="AB13" s="169">
        <f t="shared" si="19"/>
        <v>0</v>
      </c>
      <c r="AC13" s="26">
        <f t="shared" si="8"/>
        <v>0</v>
      </c>
      <c r="AD13" s="26">
        <f t="shared" si="9"/>
        <v>0</v>
      </c>
      <c r="AE13" s="26">
        <f t="shared" si="36"/>
        <v>0</v>
      </c>
      <c r="AF13" s="47">
        <f t="shared" si="10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#10'!AI13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#10'!AG14</f>
        <v>235.6</v>
      </c>
      <c r="G14" s="34">
        <f t="shared" si="11"/>
        <v>1.0620458356623812</v>
      </c>
      <c r="H14" s="143">
        <f>'Race #10'!AH14</f>
        <v>313.2</v>
      </c>
      <c r="I14" s="43">
        <f t="shared" si="12"/>
        <v>0.95814422592032267</v>
      </c>
      <c r="J14" s="450" t="str">
        <f t="shared" si="13"/>
        <v>No</v>
      </c>
      <c r="K14" s="44">
        <f t="shared" si="1"/>
        <v>0</v>
      </c>
      <c r="L14" s="139"/>
      <c r="M14" s="139"/>
      <c r="N14" s="32">
        <f t="shared" si="2"/>
        <v>0</v>
      </c>
      <c r="O14" s="129" t="str">
        <f t="shared" si="3"/>
        <v/>
      </c>
      <c r="P14" s="144">
        <f t="shared" si="34"/>
        <v>0</v>
      </c>
      <c r="Q14" s="145">
        <f>HOUR(P14)*3600+MINUTE(P14)*60+SECOND(P14)</f>
        <v>0</v>
      </c>
      <c r="R14" s="146">
        <f t="shared" si="4"/>
        <v>0</v>
      </c>
      <c r="S14" s="38" t="s">
        <v>166</v>
      </c>
      <c r="T14" s="95" t="str">
        <f t="shared" si="14"/>
        <v/>
      </c>
      <c r="U14" s="147">
        <f t="shared" si="15"/>
        <v>0</v>
      </c>
      <c r="V14" s="147">
        <f t="shared" si="16"/>
        <v>0</v>
      </c>
      <c r="W14" s="145">
        <f t="shared" si="17"/>
        <v>0</v>
      </c>
      <c r="X14" s="32">
        <f t="shared" si="18"/>
        <v>0</v>
      </c>
      <c r="Y14" s="45" t="str">
        <f t="shared" si="5"/>
        <v/>
      </c>
      <c r="Z14" s="45" t="str">
        <f t="shared" si="6"/>
        <v/>
      </c>
      <c r="AA14" s="160" t="str">
        <f t="shared" si="7"/>
        <v/>
      </c>
      <c r="AB14" s="169">
        <f t="shared" si="19"/>
        <v>0</v>
      </c>
      <c r="AC14" s="32">
        <f t="shared" si="8"/>
        <v>0</v>
      </c>
      <c r="AD14" s="32">
        <f t="shared" si="9"/>
        <v>0</v>
      </c>
      <c r="AE14" s="32">
        <f t="shared" si="36"/>
        <v>0</v>
      </c>
      <c r="AF14" s="33">
        <f t="shared" si="10"/>
        <v>0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#10'!AI14</f>
        <v>18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#10'!AG15</f>
        <v>101.7</v>
      </c>
      <c r="G15" s="31">
        <f t="shared" si="11"/>
        <v>1.3065153859377685</v>
      </c>
      <c r="H15" s="27">
        <f>'Race #10'!AH15</f>
        <v>158.4</v>
      </c>
      <c r="I15" s="35">
        <f t="shared" si="12"/>
        <v>1.1904761904761905</v>
      </c>
      <c r="J15" s="447" t="str">
        <f t="shared" si="13"/>
        <v>No</v>
      </c>
      <c r="K15" s="36">
        <f t="shared" si="1"/>
        <v>0</v>
      </c>
      <c r="L15" s="139"/>
      <c r="M15" s="139"/>
      <c r="N15" s="26">
        <f t="shared" si="2"/>
        <v>0</v>
      </c>
      <c r="O15" s="129" t="str">
        <f t="shared" si="3"/>
        <v/>
      </c>
      <c r="P15" s="140">
        <f t="shared" si="34"/>
        <v>0</v>
      </c>
      <c r="Q15" s="141">
        <f t="shared" si="35"/>
        <v>0</v>
      </c>
      <c r="R15" s="142">
        <f t="shared" si="4"/>
        <v>0</v>
      </c>
      <c r="S15" s="38" t="s">
        <v>166</v>
      </c>
      <c r="T15" s="408" t="str">
        <f t="shared" si="14"/>
        <v/>
      </c>
      <c r="U15" s="122">
        <f t="shared" si="15"/>
        <v>0</v>
      </c>
      <c r="V15" s="122">
        <f t="shared" si="16"/>
        <v>0</v>
      </c>
      <c r="W15" s="141">
        <f t="shared" si="17"/>
        <v>0</v>
      </c>
      <c r="X15" s="26">
        <f t="shared" si="18"/>
        <v>0</v>
      </c>
      <c r="Y15" s="40" t="str">
        <f t="shared" si="5"/>
        <v/>
      </c>
      <c r="Z15" s="40" t="str">
        <f t="shared" si="6"/>
        <v/>
      </c>
      <c r="AA15" s="160" t="str">
        <f t="shared" si="7"/>
        <v/>
      </c>
      <c r="AB15" s="169">
        <f t="shared" si="19"/>
        <v>0</v>
      </c>
      <c r="AC15" s="26">
        <f t="shared" si="8"/>
        <v>0</v>
      </c>
      <c r="AD15" s="26">
        <f t="shared" si="9"/>
        <v>0</v>
      </c>
      <c r="AE15" s="26">
        <f t="shared" si="36"/>
        <v>0</v>
      </c>
      <c r="AF15" s="47">
        <f t="shared" si="10"/>
        <v>0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#10'!AI15</f>
        <v>1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#10'!AG16</f>
        <v>157.5</v>
      </c>
      <c r="G16" s="34">
        <f t="shared" si="11"/>
        <v>1.192156862745098</v>
      </c>
      <c r="H16" s="143">
        <f>'Race #10'!AH16</f>
        <v>205.2</v>
      </c>
      <c r="I16" s="43">
        <f t="shared" si="12"/>
        <v>1.1091652072387623</v>
      </c>
      <c r="J16" s="450" t="str">
        <f t="shared" si="13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4"/>
        <v>0</v>
      </c>
      <c r="Q16" s="145">
        <f t="shared" si="35"/>
        <v>0</v>
      </c>
      <c r="R16" s="146">
        <f t="shared" si="4"/>
        <v>0</v>
      </c>
      <c r="S16" s="38" t="s">
        <v>166</v>
      </c>
      <c r="T16" s="95" t="str">
        <f t="shared" si="14"/>
        <v/>
      </c>
      <c r="U16" s="147">
        <f t="shared" si="15"/>
        <v>0</v>
      </c>
      <c r="V16" s="147">
        <f t="shared" si="16"/>
        <v>0</v>
      </c>
      <c r="W16" s="145">
        <f t="shared" si="17"/>
        <v>0</v>
      </c>
      <c r="X16" s="32">
        <f t="shared" si="18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9"/>
        <v>0</v>
      </c>
      <c r="AC16" s="32">
        <f t="shared" si="8"/>
        <v>0</v>
      </c>
      <c r="AD16" s="32">
        <f t="shared" si="9"/>
        <v>0</v>
      </c>
      <c r="AE16" s="32">
        <f t="shared" si="36"/>
        <v>0</v>
      </c>
      <c r="AF16" s="33">
        <f t="shared" si="10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#10'!AI16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 t="e">
        <f>'Race #10'!AG17</f>
        <v>#REF!</v>
      </c>
      <c r="G17" s="401" t="e">
        <f t="shared" si="11"/>
        <v>#REF!</v>
      </c>
      <c r="H17" s="400" t="e">
        <f>'Race #10'!AH17</f>
        <v>#REF!</v>
      </c>
      <c r="I17" s="402" t="e">
        <f t="shared" si="12"/>
        <v>#REF!</v>
      </c>
      <c r="J17" s="448" t="str">
        <f t="shared" si="13"/>
        <v>No</v>
      </c>
      <c r="K17" s="403">
        <f t="shared" si="1"/>
        <v>0</v>
      </c>
      <c r="L17" s="150"/>
      <c r="M17" s="150"/>
      <c r="N17" s="404">
        <f>IF(W17&gt;0,1,0)</f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4"/>
        <v/>
      </c>
      <c r="U17" s="409">
        <f t="shared" si="15"/>
        <v>0</v>
      </c>
      <c r="V17" s="409">
        <f t="shared" si="16"/>
        <v>0</v>
      </c>
      <c r="W17" s="406">
        <f t="shared" si="17"/>
        <v>0</v>
      </c>
      <c r="X17" s="404" t="e">
        <f t="shared" si="18"/>
        <v>#REF!</v>
      </c>
      <c r="Y17" s="410" t="str">
        <f t="shared" si="5"/>
        <v/>
      </c>
      <c r="Z17" s="411" t="e">
        <f t="shared" si="6"/>
        <v>#REF!</v>
      </c>
      <c r="AA17" s="161" t="e">
        <f t="shared" si="7"/>
        <v>#REF!</v>
      </c>
      <c r="AB17" s="161" t="e">
        <f t="shared" si="19"/>
        <v>#REF!</v>
      </c>
      <c r="AC17" s="404" t="e">
        <f t="shared" si="8"/>
        <v>#REF!</v>
      </c>
      <c r="AD17" s="404" t="e">
        <f t="shared" si="9"/>
        <v>#REF!</v>
      </c>
      <c r="AE17" s="404" t="e">
        <f>IF(AD17&gt;30,30,IF(AD17&lt;-30,-30,(AD17)))</f>
        <v>#REF!</v>
      </c>
      <c r="AF17" s="412" t="e">
        <f t="shared" si="10"/>
        <v>#REF!</v>
      </c>
      <c r="AG17" s="413" t="e">
        <f>MIN(MAX(IF(S17="Yes",F17+AF17,F17),'Roster and Starting Handicaps'!M19),'Roster and Starting Handicaps'!N19)</f>
        <v>#REF!</v>
      </c>
      <c r="AH17" s="413" t="e">
        <f>MIN(MAX(IF(S17="No",H17+AF17,H17),'Roster and Starting Handicaps'!O19,'Roster and Starting Handicaps'!P19))</f>
        <v>#REF!</v>
      </c>
      <c r="AI17" s="171" t="e">
        <f>AB17+'Race #10'!AI17</f>
        <v>#REF!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#10'!AG18</f>
        <v>194.4</v>
      </c>
      <c r="G18" s="431">
        <f t="shared" si="11"/>
        <v>1.1269276393831555</v>
      </c>
      <c r="H18" s="430">
        <f>'Race #10'!AH18</f>
        <v>212.4</v>
      </c>
      <c r="I18" s="432">
        <f t="shared" si="12"/>
        <v>1.0976314269208551</v>
      </c>
      <c r="J18" s="451" t="str">
        <f t="shared" si="13"/>
        <v>No</v>
      </c>
      <c r="K18" s="433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4"/>
        <v>0</v>
      </c>
      <c r="Q18" s="436">
        <f t="shared" si="35"/>
        <v>0</v>
      </c>
      <c r="R18" s="437">
        <f t="shared" si="4"/>
        <v>0</v>
      </c>
      <c r="S18" s="39" t="s">
        <v>166</v>
      </c>
      <c r="T18" s="438" t="str">
        <f t="shared" si="14"/>
        <v/>
      </c>
      <c r="U18" s="439">
        <f t="shared" si="15"/>
        <v>0</v>
      </c>
      <c r="V18" s="439">
        <f>IF(S18="No",0,(-(I18-G18)*Q18))</f>
        <v>0</v>
      </c>
      <c r="W18" s="436">
        <f t="shared" si="17"/>
        <v>0</v>
      </c>
      <c r="X18" s="434">
        <f t="shared" si="18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9"/>
        <v>0</v>
      </c>
      <c r="AC18" s="434">
        <f t="shared" si="8"/>
        <v>0</v>
      </c>
      <c r="AD18" s="434">
        <f t="shared" si="9"/>
        <v>0</v>
      </c>
      <c r="AE18" s="434">
        <f t="shared" si="36"/>
        <v>0</v>
      </c>
      <c r="AF18" s="441">
        <f t="shared" si="10"/>
        <v>0</v>
      </c>
      <c r="AG18" s="442">
        <f>MIN(MAX(IF(S18="Yes",F18+AF18,F18),'Roster and Starting Handicaps'!M20),'Roster and Starting Handicaps'!N20)</f>
        <v>194.4</v>
      </c>
      <c r="AH18" s="444">
        <f>MIN(MAX(IF(S18="No",H18+AF18,H18),'Roster and Starting Handicaps'!O20,'Roster and Starting Handicaps'!P20))</f>
        <v>212.4</v>
      </c>
      <c r="AI18" s="173">
        <f>AB18+'Race #10'!AI18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v>4.9950000000000001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458" t="e">
        <f>IF($E$28&gt;0,VLOOKUP(1,$AA$4:$AJ$18,10,FALSE),"")</f>
        <v>#N/A</v>
      </c>
      <c r="J22" s="459"/>
      <c r="K22" s="463" t="str" cm="1">
        <f t="array" ref="K22">IFERROR(VLOOKUP(I22,$B$4:$X$18,23,0)-_xlfn.MINIFS($X$4:$X$18,$X$4:$X$18,"&gt;0"),"")</f>
        <v/>
      </c>
      <c r="L22" s="464"/>
      <c r="M22" s="463" t="str">
        <f>IFERROR(VLOOKUP(I22,$B$4:$W$18,22,0)-_xlfn.MINIFS($W$4:$W$18,$W$4:$W$18,"&gt;0"),"")</f>
        <v/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/>
      </c>
      <c r="H23" s="453"/>
      <c r="I23" s="458" t="str">
        <f>IF($E$28&gt;1,VLOOKUP(2,$AA$4:$AJ$18,10,FALSE),"")</f>
        <v/>
      </c>
      <c r="J23" s="459"/>
      <c r="K23" s="463" t="str">
        <f>IFERROR(VLOOKUP(I23,$B$4:$X$18,23,0)-_xlfn.MINIFS($X$4:$X$18,$X$4:$X$18,"&gt;0"),"")</f>
        <v/>
      </c>
      <c r="L23" s="464"/>
      <c r="M23" s="463" t="str">
        <f t="shared" ref="M23:M33" si="54">IFERROR(VLOOKUP(I23,$B$4:$W$18,22,0)-_xlfn.MINIFS($W$4:$W$18,$W$4:$W$18,"&gt;0"),"")</f>
        <v/>
      </c>
      <c r="N23" s="467"/>
      <c r="P23" s="80">
        <v>2</v>
      </c>
      <c r="Q23" s="81">
        <v>1</v>
      </c>
      <c r="U23" s="380" t="s">
        <v>180</v>
      </c>
      <c r="V23" s="380"/>
      <c r="W23" s="381" t="s">
        <v>205</v>
      </c>
      <c r="X23" s="71"/>
      <c r="Y23" s="71"/>
      <c r="Z23" s="71"/>
      <c r="AA23" s="382"/>
      <c r="AD23" s="380" t="s">
        <v>231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202</v>
      </c>
      <c r="G24" s="452" t="str">
        <f>IF(E28&gt;2,"Third Place","")</f>
        <v/>
      </c>
      <c r="H24" s="453"/>
      <c r="I24" s="458" t="str">
        <f>IF($E$28&gt;2,VLOOKUP(3,$AA$4:$AJ$18,10,FALSE),"")</f>
        <v/>
      </c>
      <c r="J24" s="459"/>
      <c r="K24" s="463" t="str">
        <f t="shared" ref="K24:K33" si="55">IFERROR(VLOOKUP(I24,$B$4:$X$18,23,0)-_xlfn.MINIFS($X$4:$X$18,$X$4:$X$18,"&gt;0"),"")</f>
        <v/>
      </c>
      <c r="L24" s="464"/>
      <c r="M24" s="463" t="str">
        <f t="shared" si="54"/>
        <v/>
      </c>
      <c r="N24" s="467"/>
      <c r="P24" s="82">
        <v>3</v>
      </c>
      <c r="Q24" s="72">
        <v>2</v>
      </c>
      <c r="U24" s="380" t="s">
        <v>205</v>
      </c>
      <c r="V24" s="380"/>
      <c r="W24" s="381" t="s">
        <v>206</v>
      </c>
      <c r="X24" s="71"/>
      <c r="Y24" s="71"/>
      <c r="Z24" s="71"/>
      <c r="AA24" s="382"/>
      <c r="AD24" s="380"/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480</v>
      </c>
      <c r="G25" s="452" t="str">
        <f>IF(E28&gt;3,"Fourth Place","")</f>
        <v/>
      </c>
      <c r="H25" s="453"/>
      <c r="I25" s="458" t="str">
        <f>IF($E$28&gt;3,VLOOKUP(4,$AA$4:$AJ$18,10,FALSE),"")</f>
        <v/>
      </c>
      <c r="J25" s="459"/>
      <c r="K25" s="463" t="str">
        <f t="shared" si="55"/>
        <v/>
      </c>
      <c r="L25" s="464"/>
      <c r="M25" s="463" t="str">
        <f t="shared" si="54"/>
        <v/>
      </c>
      <c r="N25" s="467"/>
      <c r="P25" s="82">
        <v>4</v>
      </c>
      <c r="Q25" s="72">
        <v>2</v>
      </c>
      <c r="U25" s="380" t="s">
        <v>206</v>
      </c>
      <c r="V25" s="380"/>
      <c r="W25" s="381" t="s">
        <v>219</v>
      </c>
      <c r="X25" s="71"/>
      <c r="Y25" s="71"/>
      <c r="Z25" s="71"/>
      <c r="AA25" s="382"/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/>
      </c>
      <c r="H26" s="453"/>
      <c r="I26" s="458" t="str">
        <f>IF($E$28&gt;4,VLOOKUP(5,$AA$4:$AJ$18,10,FALSE),"")</f>
        <v/>
      </c>
      <c r="J26" s="459"/>
      <c r="K26" s="463" t="str">
        <f t="shared" si="55"/>
        <v/>
      </c>
      <c r="L26" s="464"/>
      <c r="M26" s="463" t="str">
        <f t="shared" si="54"/>
        <v/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0</v>
      </c>
      <c r="G27" s="452" t="str">
        <f>IF($E$28&gt;5,"Sixth Place","")</f>
        <v/>
      </c>
      <c r="H27" s="453"/>
      <c r="I27" s="458" t="str">
        <f>IF($E$28&gt;5,VLOOKUP(6,$AA$4:$AJ$18,10,FALSE),"")</f>
        <v/>
      </c>
      <c r="J27" s="459"/>
      <c r="K27" s="463" t="str">
        <f t="shared" si="55"/>
        <v/>
      </c>
      <c r="L27" s="464"/>
      <c r="M27" s="463" t="str">
        <f t="shared" si="54"/>
        <v/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1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63" t="str">
        <f t="shared" si="55"/>
        <v/>
      </c>
      <c r="L28" s="464"/>
      <c r="M28" s="463" t="str">
        <f t="shared" si="54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 t="e">
        <f>VLOOKUP(E28,P23:Q33,2,FALSE)</f>
        <v>#N/A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63" t="str">
        <f t="shared" si="55"/>
        <v/>
      </c>
      <c r="L29" s="464"/>
      <c r="M29" s="463" t="str">
        <f t="shared" si="54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 t="e">
        <f>VLOOKUP(E29,Z4:AC18,4,FALSE)</f>
        <v>#N/A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5"/>
        <v/>
      </c>
      <c r="L30" s="464"/>
      <c r="M30" s="463" t="str">
        <f t="shared" si="54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280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5"/>
        <v/>
      </c>
      <c r="L31" s="464"/>
      <c r="M31" s="463" t="str">
        <f t="shared" si="54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v>4.9950000000000001</v>
      </c>
    </row>
    <row r="32" spans="2:37" ht="18" customHeight="1" x14ac:dyDescent="0.2">
      <c r="D32" s="56" t="s">
        <v>190</v>
      </c>
      <c r="E32" s="377">
        <f>E25+E31</f>
        <v>760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5"/>
        <v/>
      </c>
      <c r="L32" s="464"/>
      <c r="M32" s="463" t="str">
        <f t="shared" si="54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5"/>
        <v/>
      </c>
      <c r="L33" s="479"/>
      <c r="M33" s="477" t="str">
        <f t="shared" si="54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0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5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I22:J22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3" priority="3" operator="equal">
      <formula>1</formula>
    </cfRule>
  </conditionalFormatting>
  <conditionalFormatting sqref="S4:T14 S15 S16:T18">
    <cfRule type="cellIs" dxfId="2" priority="1" operator="equal">
      <formula>"Yes"</formula>
    </cfRule>
  </conditionalFormatting>
  <dataValidations count="2">
    <dataValidation type="list" allowBlank="1" showInputMessage="1" showErrorMessage="1" sqref="J4:J18 S4:S18 E22 E26" xr:uid="{FFEC9214-3997-8F4F-959F-0E444AFD61D1}">
      <formula1>$AN$4:$AN$5</formula1>
    </dataValidation>
    <dataValidation type="list" allowBlank="1" showInputMessage="1" showErrorMessage="1" sqref="E24" xr:uid="{2EA0B245-CE74-4F44-88C5-7BBCEEDE7156}">
      <formula1>$I$37:$I$39</formula1>
    </dataValidation>
  </dataValidations>
  <printOptions horizontalCentered="1"/>
  <pageMargins left="0.7" right="0.7" top="0.75" bottom="0.75" header="0.3" footer="0.3"/>
  <pageSetup paperSize="9" scale="55" fitToWidth="2" orientation="landscape" r:id="rId1"/>
  <ignoredErrors>
    <ignoredError sqref="H18 H7 H4 H12:H16 H9:H10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839DD-701A-4A37-9561-C6563E39DAC2}">
  <sheetPr>
    <pageSetUpPr fitToPage="1"/>
  </sheetPr>
  <dimension ref="A2:AY52"/>
  <sheetViews>
    <sheetView topLeftCell="H1" zoomScale="80" zoomScaleNormal="80" workbookViewId="0">
      <selection activeCell="I3" sqref="I3"/>
    </sheetView>
  </sheetViews>
  <sheetFormatPr baseColWidth="10" defaultColWidth="8.83203125" defaultRowHeight="15" x14ac:dyDescent="0.2"/>
  <cols>
    <col min="1" max="1" width="5.83203125" style="204" customWidth="1"/>
    <col min="2" max="7" width="8.6640625" style="204" customWidth="1"/>
    <col min="8" max="8" width="12.1640625" style="204" customWidth="1"/>
    <col min="9" max="9" width="15" style="204" customWidth="1"/>
    <col min="10" max="10" width="14.33203125" style="204" bestFit="1" customWidth="1"/>
    <col min="11" max="11" width="26.83203125" style="204" bestFit="1" customWidth="1"/>
    <col min="12" max="13" width="9" style="214" customWidth="1"/>
    <col min="14" max="21" width="9.6640625" style="214" customWidth="1"/>
    <col min="22" max="22" width="9.6640625" style="215" customWidth="1"/>
    <col min="23" max="24" width="9.6640625" style="214" customWidth="1"/>
    <col min="25" max="25" width="9.6640625" style="215" customWidth="1"/>
    <col min="26" max="46" width="9.6640625" style="214" customWidth="1"/>
    <col min="47" max="47" width="11.83203125" style="204" bestFit="1" customWidth="1"/>
    <col min="48" max="51" width="8.33203125" style="214" customWidth="1"/>
    <col min="52" max="52" width="8.6640625" style="204" customWidth="1"/>
    <col min="53" max="16384" width="8.83203125" style="204"/>
  </cols>
  <sheetData>
    <row r="2" spans="1:51" ht="16" thickBot="1" x14ac:dyDescent="0.25">
      <c r="A2" s="212"/>
      <c r="B2" s="213"/>
      <c r="I2" s="514" t="s">
        <v>240</v>
      </c>
      <c r="J2" s="515"/>
      <c r="K2" s="515"/>
      <c r="L2" s="204"/>
      <c r="M2" s="204"/>
      <c r="AU2" s="216"/>
    </row>
    <row r="3" spans="1:51" ht="17" thickTop="1" thickBot="1" x14ac:dyDescent="0.25">
      <c r="A3" s="212"/>
      <c r="B3" s="213"/>
      <c r="I3" s="216"/>
      <c r="K3" s="217"/>
      <c r="L3" s="204"/>
      <c r="M3" s="204"/>
      <c r="N3" s="521" t="s">
        <v>0</v>
      </c>
      <c r="O3" s="522"/>
      <c r="P3" s="522"/>
      <c r="Q3" s="519" t="s">
        <v>1</v>
      </c>
      <c r="R3" s="520"/>
      <c r="S3" s="520"/>
      <c r="T3" s="521" t="s">
        <v>2</v>
      </c>
      <c r="U3" s="522"/>
      <c r="V3" s="522"/>
      <c r="W3" s="519" t="s">
        <v>3</v>
      </c>
      <c r="X3" s="520"/>
      <c r="Y3" s="520"/>
      <c r="Z3" s="521" t="s">
        <v>4</v>
      </c>
      <c r="AA3" s="522"/>
      <c r="AB3" s="522"/>
      <c r="AC3" s="519" t="s">
        <v>5</v>
      </c>
      <c r="AD3" s="520"/>
      <c r="AE3" s="520"/>
      <c r="AF3" s="521" t="s">
        <v>6</v>
      </c>
      <c r="AG3" s="522"/>
      <c r="AH3" s="522"/>
      <c r="AI3" s="519" t="s">
        <v>7</v>
      </c>
      <c r="AJ3" s="520"/>
      <c r="AK3" s="520"/>
      <c r="AL3" s="521" t="s">
        <v>8</v>
      </c>
      <c r="AM3" s="522"/>
      <c r="AN3" s="522"/>
      <c r="AO3" s="519" t="s">
        <v>9</v>
      </c>
      <c r="AP3" s="520"/>
      <c r="AQ3" s="520"/>
      <c r="AR3" s="521" t="s">
        <v>10</v>
      </c>
      <c r="AS3" s="522"/>
      <c r="AT3" s="523"/>
      <c r="AU3" s="216"/>
      <c r="AV3" s="516" t="s">
        <v>114</v>
      </c>
      <c r="AW3" s="517"/>
      <c r="AX3" s="517"/>
      <c r="AY3" s="518"/>
    </row>
    <row r="4" spans="1:51" ht="65" thickBot="1" x14ac:dyDescent="0.25">
      <c r="A4" s="218"/>
      <c r="B4" s="219" t="s">
        <v>12</v>
      </c>
      <c r="C4" s="220" t="s">
        <v>13</v>
      </c>
      <c r="D4" s="221" t="s">
        <v>14</v>
      </c>
      <c r="E4" s="219" t="s">
        <v>15</v>
      </c>
      <c r="F4" s="220" t="s">
        <v>16</v>
      </c>
      <c r="G4" s="222" t="s">
        <v>17</v>
      </c>
      <c r="H4" s="205" t="s">
        <v>18</v>
      </c>
      <c r="I4" s="223" t="s">
        <v>19</v>
      </c>
      <c r="J4" s="224" t="s">
        <v>20</v>
      </c>
      <c r="K4" s="225" t="s">
        <v>21</v>
      </c>
      <c r="L4" s="226" t="s">
        <v>22</v>
      </c>
      <c r="M4" s="226" t="s">
        <v>23</v>
      </c>
      <c r="N4" s="227" t="s">
        <v>24</v>
      </c>
      <c r="O4" s="228" t="s">
        <v>25</v>
      </c>
      <c r="P4" s="228" t="s">
        <v>26</v>
      </c>
      <c r="Q4" s="229" t="s">
        <v>27</v>
      </c>
      <c r="R4" s="230" t="s">
        <v>28</v>
      </c>
      <c r="S4" s="230" t="s">
        <v>29</v>
      </c>
      <c r="T4" s="231" t="s">
        <v>30</v>
      </c>
      <c r="U4" s="232" t="s">
        <v>31</v>
      </c>
      <c r="V4" s="232" t="s">
        <v>32</v>
      </c>
      <c r="W4" s="231" t="s">
        <v>33</v>
      </c>
      <c r="X4" s="232" t="s">
        <v>34</v>
      </c>
      <c r="Y4" s="232" t="s">
        <v>35</v>
      </c>
      <c r="Z4" s="231" t="s">
        <v>36</v>
      </c>
      <c r="AA4" s="232" t="s">
        <v>37</v>
      </c>
      <c r="AB4" s="232" t="s">
        <v>38</v>
      </c>
      <c r="AC4" s="231" t="s">
        <v>39</v>
      </c>
      <c r="AD4" s="232" t="s">
        <v>40</v>
      </c>
      <c r="AE4" s="232" t="s">
        <v>41</v>
      </c>
      <c r="AF4" s="231" t="s">
        <v>42</v>
      </c>
      <c r="AG4" s="232" t="s">
        <v>43</v>
      </c>
      <c r="AH4" s="232" t="s">
        <v>44</v>
      </c>
      <c r="AI4" s="231" t="s">
        <v>45</v>
      </c>
      <c r="AJ4" s="232" t="s">
        <v>46</v>
      </c>
      <c r="AK4" s="232" t="s">
        <v>47</v>
      </c>
      <c r="AL4" s="231" t="s">
        <v>48</v>
      </c>
      <c r="AM4" s="232" t="s">
        <v>49</v>
      </c>
      <c r="AN4" s="232" t="s">
        <v>50</v>
      </c>
      <c r="AO4" s="231" t="s">
        <v>51</v>
      </c>
      <c r="AP4" s="232" t="s">
        <v>52</v>
      </c>
      <c r="AQ4" s="232" t="s">
        <v>53</v>
      </c>
      <c r="AR4" s="231" t="s">
        <v>54</v>
      </c>
      <c r="AS4" s="232" t="s">
        <v>55</v>
      </c>
      <c r="AT4" s="232" t="s">
        <v>56</v>
      </c>
      <c r="AU4" s="233"/>
      <c r="AV4" s="357" t="s">
        <v>57</v>
      </c>
      <c r="AW4" s="232" t="s">
        <v>58</v>
      </c>
      <c r="AX4" s="232" t="s">
        <v>59</v>
      </c>
      <c r="AY4" s="358" t="s">
        <v>60</v>
      </c>
    </row>
    <row r="5" spans="1:51" ht="30" customHeight="1" thickBot="1" x14ac:dyDescent="0.25">
      <c r="A5" s="203"/>
      <c r="B5" s="234">
        <f t="shared" ref="B5:B19" si="0">COUNTIFS($O5,1)+COUNTIFS($R5,1)+COUNTIFS($U5,1)+COUNTIFS($X5,1)+COUNTIFS($AA5,1)+COUNTIFS($AD5,1)+COUNTIFS($AG5,1)+COUNTIFS($AJ5,1)+COUNTIFS($AM5,1)+COUNTIFS($AP5,1)+COUNTIFS($AR5,1)</f>
        <v>0</v>
      </c>
      <c r="C5" s="235">
        <f t="shared" ref="C5:C19" si="1">COUNTIFS($O5,2)+COUNTIFS($R5,2)+COUNTIFS($U5,2)+COUNTIFS($X5,2)+COUNTIFS($AA5,2)+COUNTIFS($AD5,2)+COUNTIFS($AG5,2)+COUNTIFS($AJ5,2)+COUNTIFS($AM5,2)+COUNTIFS($AP5,2)+COUNTIFS($AR5,2)</f>
        <v>0</v>
      </c>
      <c r="D5" s="236">
        <f t="shared" ref="D5:D19" si="2">COUNTIFS($O5,3)+COUNTIFS($R5,3)+COUNTIFS($U5,3)+COUNTIFS($X5,3)+COUNTIFS($AA5,3)+COUNTIFS($AD5,3)+COUNTIFS($AG5,3)+COUNTIFS($AJ5,3)+COUNTIFS($AM5,3)+COUNTIFS($AP5,3)+COUNTIFS($AR5,3)</f>
        <v>0</v>
      </c>
      <c r="E5" s="234">
        <f t="shared" ref="E5:E19" si="3">COUNTIFS($N5,1)+COUNTIFS($Q5,1)+COUNTIFS($T5,1)+COUNTIFS($W5,1)+COUNTIFS($Z5,1)+COUNTIFS($AC5,1)+COUNTIFS($AF5,1)+COUNTIFS($AI5,1)+COUNTIFS($AL5,1)+COUNTIFS($AO5,1)+COUNTIFS($AR5,1)</f>
        <v>0</v>
      </c>
      <c r="F5" s="237">
        <f>COUNTIF('Race #1'!J4,"Yes")+COUNTIF('Race #2'!J4,"Yes")+COUNTIF('Race #3'!J4,"Yes")+COUNTIF('Race #4'!J4,"Yes")+COUNTIF('Race #5'!J4,"Yes")+COUNTIF('Race #6'!J4,"Yes")+COUNTIF('Race #7'!J4,"Yes")+COUNTIF('Race #8'!J4,"Yes")+COUNTIF('Race #9'!J4,"Yes")+COUNTIF('Race #10'!J4,"Yes")+COUNTIF('Race #11'!J4,"Yes")</f>
        <v>0</v>
      </c>
      <c r="G5" s="238">
        <f t="shared" ref="G5:G19" si="4">COUNT($N5)+COUNT($Q5)+COUNT($T5)+COUNT($W5)+COUNT($Z5)+COUNT($AC5)+COUNT($AF5)+COUNT($AI5)+COUNT($AL5)+COUNT($AO5)+COUNT($AR5)</f>
        <v>0</v>
      </c>
      <c r="H5" s="206" t="str">
        <f>'Roster and Starting Handicaps'!F6</f>
        <v>231-432-0192</v>
      </c>
      <c r="I5" s="239" t="str">
        <f>'Roster and Starting Handicaps'!C6</f>
        <v>Asylum</v>
      </c>
      <c r="J5" s="386" t="str">
        <f>'Roster and Starting Handicaps'!D6</f>
        <v>Frers 33</v>
      </c>
      <c r="K5" s="387" t="str">
        <f>'Roster and Starting Handicaps'!E6</f>
        <v>Doug Kilgren</v>
      </c>
      <c r="L5" s="240">
        <v>110.1</v>
      </c>
      <c r="M5" s="240">
        <v>116.1</v>
      </c>
      <c r="N5" s="241" t="str">
        <f>'Race #1'!O4</f>
        <v/>
      </c>
      <c r="O5" s="242" t="str">
        <f>IFERROR('Race #1'!$AA4,"")</f>
        <v/>
      </c>
      <c r="P5" s="243">
        <f>IFERROR('Race #1'!$AB4,"")</f>
        <v>0</v>
      </c>
      <c r="Q5" s="244" t="str">
        <f>'Race #2'!O4</f>
        <v/>
      </c>
      <c r="R5" s="245" t="str">
        <f>IFERROR('Race #2'!$AA4,"")</f>
        <v/>
      </c>
      <c r="S5" s="246">
        <f>IFERROR('Race #2'!$AB4,"")</f>
        <v>0</v>
      </c>
      <c r="T5" s="244" t="str">
        <f>'Race #3'!O4</f>
        <v/>
      </c>
      <c r="U5" s="245" t="str">
        <f>IFERROR('Race #3'!AA4,"")</f>
        <v/>
      </c>
      <c r="V5" s="246">
        <f>IFERROR('Race #3'!$AB4,"")</f>
        <v>0</v>
      </c>
      <c r="W5" s="247" t="str">
        <f>'Race #4'!O4</f>
        <v/>
      </c>
      <c r="X5" s="248" t="str">
        <f>IFERROR('Race #4'!$AA4,"")</f>
        <v/>
      </c>
      <c r="Y5" s="249">
        <f>IFERROR('Race #4'!$AB4,"")</f>
        <v>0</v>
      </c>
      <c r="Z5" s="250" t="str">
        <f>'Race #5'!O4</f>
        <v/>
      </c>
      <c r="AA5" s="251" t="str">
        <f>IFERROR('Race #5'!$AA4,"")</f>
        <v/>
      </c>
      <c r="AB5" s="249">
        <f>IFERROR('Race #5'!$AB4,"")</f>
        <v>0</v>
      </c>
      <c r="AC5" s="247" t="str">
        <f>'Race #6'!O4</f>
        <v/>
      </c>
      <c r="AD5" s="248" t="str">
        <f>IFERROR('Race #6'!$AA4,"")</f>
        <v/>
      </c>
      <c r="AE5" s="249">
        <f>IFERROR('Race #6'!$AB4,"")</f>
        <v>0</v>
      </c>
      <c r="AF5" s="252" t="str">
        <f>'Race #7'!O4</f>
        <v/>
      </c>
      <c r="AG5" s="251" t="str">
        <f>IFERROR('Race #7'!$AA4,"")</f>
        <v/>
      </c>
      <c r="AH5" s="249">
        <f>IFERROR('Race #7'!$AB4,"")</f>
        <v>0</v>
      </c>
      <c r="AI5" s="247" t="str">
        <f>'Race #8'!O4</f>
        <v/>
      </c>
      <c r="AJ5" s="248" t="str">
        <f>IFERROR('Race #8'!$AA4,"")</f>
        <v/>
      </c>
      <c r="AK5" s="249">
        <f>IFERROR('Race #8'!$AB4,"")</f>
        <v>0</v>
      </c>
      <c r="AL5" s="253" t="str">
        <f>'Race #9'!O4</f>
        <v/>
      </c>
      <c r="AM5" s="251" t="str">
        <f>IFERROR('Race #9'!$AA4,"")</f>
        <v/>
      </c>
      <c r="AN5" s="249">
        <f>IFERROR('Race #9'!$AB4,"")</f>
        <v>0</v>
      </c>
      <c r="AO5" s="247" t="str">
        <f>'Race #10'!O4</f>
        <v/>
      </c>
      <c r="AP5" s="248" t="str">
        <f>IFERROR('Race #10'!$AA4,"")</f>
        <v/>
      </c>
      <c r="AQ5" s="248">
        <f>IFERROR('Race #10'!$AB4,"")</f>
        <v>0</v>
      </c>
      <c r="AR5" s="247" t="str">
        <f>'Race #11'!O4</f>
        <v/>
      </c>
      <c r="AS5" s="248" t="str">
        <f>IFERROR('Race #11'!$AA4,"")</f>
        <v/>
      </c>
      <c r="AT5" s="248">
        <f>IFERROR('Race #11'!$AB4,"")</f>
        <v>0</v>
      </c>
      <c r="AU5" s="254" t="str">
        <f t="shared" ref="AU5:AU19" si="5">I5</f>
        <v>Asylum</v>
      </c>
      <c r="AV5" s="359">
        <f t="shared" ref="AV5:AV19" si="6">SUM(P5,S5,V5,Y5,AB5,AE5,AH5,AK5,AN5,AQ5,AT5)</f>
        <v>0</v>
      </c>
      <c r="AW5" s="360">
        <f>IFERROR(SMALL((S5,V5,Y5,AB5,AE5,AH5,AK5,AN5,AQ5,AT5),1)+SMALL((S5,V5,Y5,AB5,AE5,AH5,AK5,AN5,AQ5,AT5),2),"")</f>
        <v>0</v>
      </c>
      <c r="AX5" s="255">
        <f>AV5-AW5</f>
        <v>0</v>
      </c>
      <c r="AY5" s="256">
        <f t="shared" ref="AY5:AY19" si="7">RANK(AX5,$AX$5:$AX$19,0)</f>
        <v>11</v>
      </c>
    </row>
    <row r="6" spans="1:51" ht="30" customHeight="1" thickBot="1" x14ac:dyDescent="0.25">
      <c r="A6" s="203"/>
      <c r="B6" s="257">
        <f t="shared" si="0"/>
        <v>1</v>
      </c>
      <c r="C6" s="258">
        <f t="shared" si="1"/>
        <v>0</v>
      </c>
      <c r="D6" s="259">
        <f t="shared" si="2"/>
        <v>0</v>
      </c>
      <c r="E6" s="257">
        <f t="shared" si="3"/>
        <v>1</v>
      </c>
      <c r="F6" s="258">
        <f>COUNTIF('Race #1'!J5,"Yes")+COUNTIF('Race #2'!J5,"Yes")+COUNTIF('Race #3'!J5,"Yes")+COUNTIF('Race #4'!J5,"Yes")+COUNTIF('Race #5'!J5,"Yes")+COUNTIF('Race #6'!J5,"Yes")+COUNTIF('Race #7'!J5,"Yes")+COUNTIF('Race #8'!J5,"Yes")+COUNTIF('Race #9'!J5,"Yes")+COUNTIF('Race #10'!J5,"Yes")+COUNTIF('Race #11'!J5,"Yes")</f>
        <v>1</v>
      </c>
      <c r="G6" s="258">
        <f t="shared" si="4"/>
        <v>1</v>
      </c>
      <c r="H6" s="207" t="str">
        <f>'Roster and Starting Handicaps'!F7</f>
        <v>703-789-3547</v>
      </c>
      <c r="I6" s="260" t="str">
        <f>'Roster and Starting Handicaps'!C7</f>
        <v>Exit Strategy</v>
      </c>
      <c r="J6" s="388" t="str">
        <f>'Roster and Starting Handicaps'!D7</f>
        <v>J Boats J 105</v>
      </c>
      <c r="K6" s="389" t="str">
        <f>'Roster and Starting Handicaps'!E7</f>
        <v>John Stamos/John Woods</v>
      </c>
      <c r="L6" s="261">
        <v>87</v>
      </c>
      <c r="M6" s="262">
        <v>107</v>
      </c>
      <c r="N6" s="263" t="str">
        <f>'Race #1'!O5</f>
        <v/>
      </c>
      <c r="O6" s="264" t="str">
        <f>IFERROR('Race #1'!$AA5,"")</f>
        <v/>
      </c>
      <c r="P6" s="265">
        <f>IFERROR('Race #1'!$AB5,"")</f>
        <v>0</v>
      </c>
      <c r="Q6" s="266">
        <f>'Race #2'!O5</f>
        <v>1</v>
      </c>
      <c r="R6" s="267">
        <f>IFERROR('Race #2'!$AA5,"")</f>
        <v>1</v>
      </c>
      <c r="S6" s="268">
        <f>IFERROR('Race #2'!$AB5,"")</f>
        <v>6</v>
      </c>
      <c r="T6" s="266" t="str">
        <f>'Race #3'!O5</f>
        <v/>
      </c>
      <c r="U6" s="267" t="str">
        <f>IFERROR('Race #3'!AA5,"")</f>
        <v/>
      </c>
      <c r="V6" s="268">
        <f>IFERROR('Race #3'!$AB5,"")</f>
        <v>0</v>
      </c>
      <c r="W6" s="266" t="str">
        <f>'Race #4'!O5</f>
        <v/>
      </c>
      <c r="X6" s="267" t="str">
        <f>IFERROR('Race #4'!$AA5,"")</f>
        <v/>
      </c>
      <c r="Y6" s="268">
        <f>IFERROR('Race #4'!$AB5,"")</f>
        <v>0</v>
      </c>
      <c r="Z6" s="269" t="str">
        <f>'Race #5'!O5</f>
        <v/>
      </c>
      <c r="AA6" s="270" t="str">
        <f>IFERROR('Race #5'!$AA5,"")</f>
        <v/>
      </c>
      <c r="AB6" s="268">
        <f>IFERROR('Race #5'!$AB5,"")</f>
        <v>0</v>
      </c>
      <c r="AC6" s="266" t="str">
        <f>'Race #6'!O5</f>
        <v/>
      </c>
      <c r="AD6" s="267" t="str">
        <f>IFERROR('Race #6'!$AA5,"")</f>
        <v/>
      </c>
      <c r="AE6" s="268">
        <f>IFERROR('Race #6'!$AB5,"")</f>
        <v>0</v>
      </c>
      <c r="AF6" s="271" t="str">
        <f>'Race #7'!O5</f>
        <v/>
      </c>
      <c r="AG6" s="270" t="str">
        <f>IFERROR('Race #7'!$AA5,"")</f>
        <v/>
      </c>
      <c r="AH6" s="268">
        <f>IFERROR('Race #7'!$AB5,"")</f>
        <v>0</v>
      </c>
      <c r="AI6" s="266" t="str">
        <f>'Race #8'!O5</f>
        <v/>
      </c>
      <c r="AJ6" s="267" t="str">
        <f>IFERROR('Race #8'!$AA5,"")</f>
        <v/>
      </c>
      <c r="AK6" s="268">
        <f>IFERROR('Race #8'!$AB5,"")</f>
        <v>0</v>
      </c>
      <c r="AL6" s="272" t="str">
        <f>'Race #9'!O5</f>
        <v/>
      </c>
      <c r="AM6" s="270" t="str">
        <f>IFERROR('Race #9'!$AA5,"")</f>
        <v/>
      </c>
      <c r="AN6" s="268">
        <f>IFERROR('Race #9'!$AB5,"")</f>
        <v>0</v>
      </c>
      <c r="AO6" s="266" t="str">
        <f>'Race #10'!O5</f>
        <v/>
      </c>
      <c r="AP6" s="267" t="str">
        <f>IFERROR('Race #10'!$AA5,"")</f>
        <v/>
      </c>
      <c r="AQ6" s="267">
        <f>IFERROR('Race #10'!$AB5,"")</f>
        <v>0</v>
      </c>
      <c r="AR6" s="266" t="str">
        <f>'Race #11'!O5</f>
        <v/>
      </c>
      <c r="AS6" s="267" t="str">
        <f>IFERROR('Race #11'!$AA5,"")</f>
        <v/>
      </c>
      <c r="AT6" s="267">
        <f>IFERROR('Race #11'!$AB5,"")</f>
        <v>0</v>
      </c>
      <c r="AU6" s="273" t="str">
        <f t="shared" si="5"/>
        <v>Exit Strategy</v>
      </c>
      <c r="AV6" s="361">
        <f t="shared" si="6"/>
        <v>6</v>
      </c>
      <c r="AW6" s="360">
        <f>IFERROR(SMALL((S6,V6,Y6,AB6,AE6,AH6,AK6,AN6,AQ6,AT6),1)+SMALL((S6,V6,Y6,AB6,AE6,AH6,AK6,AN6,AQ6,AT6),2),"")</f>
        <v>0</v>
      </c>
      <c r="AX6" s="274">
        <f>AV6-AW6</f>
        <v>6</v>
      </c>
      <c r="AY6" s="275">
        <f t="shared" si="7"/>
        <v>7</v>
      </c>
    </row>
    <row r="7" spans="1:51" ht="30" customHeight="1" thickBot="1" x14ac:dyDescent="0.25">
      <c r="A7" s="203"/>
      <c r="B7" s="276">
        <f t="shared" si="0"/>
        <v>0</v>
      </c>
      <c r="C7" s="277">
        <f t="shared" si="1"/>
        <v>0</v>
      </c>
      <c r="D7" s="278">
        <f t="shared" si="2"/>
        <v>1</v>
      </c>
      <c r="E7" s="276">
        <f t="shared" si="3"/>
        <v>1</v>
      </c>
      <c r="F7" s="277">
        <f>COUNTIF('Race #1'!J6,"Yes")+COUNTIF('Race #2'!J6,"Yes")+COUNTIF('Race #3'!J6,"Yes")+COUNTIF('Race #4'!J6,"Yes")+COUNTIF('Race #5'!J6,"Yes")+COUNTIF('Race #6'!J6,"Yes")+COUNTIF('Race #7'!J6,"Yes")+COUNTIF('Race #8'!J6,"Yes")+COUNTIF('Race #9'!J6,"Yes")+COUNTIF('Race #10'!J6,"Yes")+COUNTIF('Race #11'!J6,"Yes")</f>
        <v>2</v>
      </c>
      <c r="G7" s="277">
        <f t="shared" si="4"/>
        <v>2</v>
      </c>
      <c r="H7" s="208" t="str">
        <f>'Roster and Starting Handicaps'!F8</f>
        <v>616-540-7667</v>
      </c>
      <c r="I7" s="279" t="str">
        <f>'Roster and Starting Handicaps'!C8</f>
        <v>Cheerio</v>
      </c>
      <c r="J7" s="390" t="str">
        <f>'Roster and Starting Handicaps'!D8</f>
        <v>Corsair F-27</v>
      </c>
      <c r="K7" s="391" t="str">
        <f>'Roster and Starting Handicaps'!E8</f>
        <v>Steven Slot</v>
      </c>
      <c r="L7" s="280">
        <v>54</v>
      </c>
      <c r="M7" s="280">
        <v>65.599999999999994</v>
      </c>
      <c r="N7" s="281" t="str">
        <f>'Race #1'!O6</f>
        <v/>
      </c>
      <c r="O7" s="282" t="str">
        <f>IFERROR('Race #1'!$AA6,"")</f>
        <v/>
      </c>
      <c r="P7" s="283">
        <f>IFERROR('Race #1'!$AB6,"")</f>
        <v>0</v>
      </c>
      <c r="Q7" s="284" t="str">
        <f>'Race #2'!O6</f>
        <v/>
      </c>
      <c r="R7" s="285" t="str">
        <f>IFERROR('Race #2'!$AA6,"")</f>
        <v/>
      </c>
      <c r="S7" s="286">
        <f>IFERROR('Race #2'!$AB6,"")</f>
        <v>0</v>
      </c>
      <c r="T7" s="284">
        <f>'Race #3'!O6</f>
        <v>4</v>
      </c>
      <c r="U7" s="285">
        <f>IFERROR('Race #3'!AA6,"")</f>
        <v>8</v>
      </c>
      <c r="V7" s="286">
        <f>IFERROR('Race #3'!$AB6,"")</f>
        <v>1</v>
      </c>
      <c r="W7" s="284">
        <f>'Race #4'!O6</f>
        <v>1</v>
      </c>
      <c r="X7" s="285">
        <f>IFERROR('Race #4'!$AA6,"")</f>
        <v>3</v>
      </c>
      <c r="Y7" s="286">
        <f>IFERROR('Race #4'!$AB6,"")</f>
        <v>4</v>
      </c>
      <c r="Z7" s="287" t="str">
        <f>'Race #5'!O6</f>
        <v/>
      </c>
      <c r="AA7" s="288" t="str">
        <f>IFERROR('Race #5'!$AA6,"")</f>
        <v/>
      </c>
      <c r="AB7" s="286">
        <f>IFERROR('Race #5'!$AB6,"")</f>
        <v>0</v>
      </c>
      <c r="AC7" s="284" t="str">
        <f>'Race #6'!O6</f>
        <v/>
      </c>
      <c r="AD7" s="285" t="str">
        <f>IFERROR('Race #6'!$AA6,"")</f>
        <v/>
      </c>
      <c r="AE7" s="286">
        <f>IFERROR('Race #6'!$AB6,"")</f>
        <v>0</v>
      </c>
      <c r="AF7" s="289" t="str">
        <f>'Race #7'!O6</f>
        <v/>
      </c>
      <c r="AG7" s="288" t="str">
        <f>IFERROR('Race #7'!$AA6,"")</f>
        <v/>
      </c>
      <c r="AH7" s="286">
        <f>IFERROR('Race #7'!$AB6,"")</f>
        <v>0</v>
      </c>
      <c r="AI7" s="284" t="str">
        <f>'Race #8'!O6</f>
        <v/>
      </c>
      <c r="AJ7" s="285" t="str">
        <f>IFERROR('Race #8'!$AA6,"")</f>
        <v/>
      </c>
      <c r="AK7" s="286" t="str">
        <f>IFERROR('Race #8'!$AB6,"")</f>
        <v/>
      </c>
      <c r="AL7" s="290" t="str">
        <f>'Race #9'!O6</f>
        <v/>
      </c>
      <c r="AM7" s="288" t="str">
        <f>IFERROR('Race #9'!$AA6,"")</f>
        <v/>
      </c>
      <c r="AN7" s="286" t="str">
        <f>IFERROR('Race #9'!$AB6,"")</f>
        <v/>
      </c>
      <c r="AO7" s="284" t="str">
        <f>'Race #10'!O6</f>
        <v/>
      </c>
      <c r="AP7" s="285" t="str">
        <f>IFERROR('Race #10'!$AA6,"")</f>
        <v/>
      </c>
      <c r="AQ7" s="285" t="str">
        <f>IFERROR('Race #10'!$AB6,"")</f>
        <v/>
      </c>
      <c r="AR7" s="284" t="str">
        <f>'Race #11'!O6</f>
        <v/>
      </c>
      <c r="AS7" s="285" t="str">
        <f>IFERROR('Race #11'!$AA6,"")</f>
        <v/>
      </c>
      <c r="AT7" s="285" t="str">
        <f>IFERROR('Race #11'!$AB6,"")</f>
        <v/>
      </c>
      <c r="AU7" s="291" t="str">
        <f t="shared" si="5"/>
        <v>Cheerio</v>
      </c>
      <c r="AV7" s="361">
        <f t="shared" ref="AV7" si="8">SUM(P7,S7,V7,Y7,AB7,AE7,AH7,AK7,AN7,AQ7,AT7)</f>
        <v>5</v>
      </c>
      <c r="AW7" s="360">
        <f>IFERROR(SMALL((S7,V7,Y7,AB7,AE7,AH7,AK7,AN7,AQ7,AT7),1)+SMALL((S7,V7,Y7,AB7,AE7,AH7,AK7,AN7,AQ7,AT7),2),"")</f>
        <v>0</v>
      </c>
      <c r="AX7" s="274">
        <f>AV7-AW7</f>
        <v>5</v>
      </c>
      <c r="AY7" s="275">
        <f t="shared" si="7"/>
        <v>8</v>
      </c>
    </row>
    <row r="8" spans="1:51" ht="30" customHeight="1" thickBot="1" x14ac:dyDescent="0.25">
      <c r="A8" s="203"/>
      <c r="B8" s="257">
        <f t="shared" si="0"/>
        <v>0</v>
      </c>
      <c r="C8" s="258">
        <f t="shared" si="1"/>
        <v>0</v>
      </c>
      <c r="D8" s="259">
        <f t="shared" si="2"/>
        <v>0</v>
      </c>
      <c r="E8" s="257">
        <f t="shared" si="3"/>
        <v>0</v>
      </c>
      <c r="F8" s="258">
        <f>COUNTIF('Race #1'!J7,"Yes")+COUNTIF('Race #2'!J7,"Yes")+COUNTIF('Race #3'!J7,"Yes")+COUNTIF('Race #4'!J7,"Yes")+COUNTIF('Race #5'!J7,"Yes")+COUNTIF('Race #6'!J7,"Yes")+COUNTIF('Race #7'!J7,"Yes")+COUNTIF('Race #8'!J7,"Yes")+COUNTIF('Race #9'!J7,"Yes")+COUNTIF('Race #10'!J7,"Yes")+COUNTIF('Race #11'!J7,"Yes")</f>
        <v>0</v>
      </c>
      <c r="G8" s="258">
        <f t="shared" si="4"/>
        <v>0</v>
      </c>
      <c r="H8" s="207" t="str">
        <f>'Roster and Starting Handicaps'!F9</f>
        <v>847-736-5924</v>
      </c>
      <c r="I8" s="260" t="str">
        <f>'Roster and Starting Handicaps'!C9</f>
        <v>Magoo</v>
      </c>
      <c r="J8" s="388" t="str">
        <f>'Roster and Starting Handicaps'!D9</f>
        <v>Catalina 28 TM MK2</v>
      </c>
      <c r="K8" s="389" t="str">
        <f>'Roster and Starting Handicaps'!E9</f>
        <v>Steve Luebkeman</v>
      </c>
      <c r="L8" s="262">
        <v>195</v>
      </c>
      <c r="M8" s="262">
        <v>207</v>
      </c>
      <c r="N8" s="263" t="str">
        <f>'Race #1'!O7</f>
        <v/>
      </c>
      <c r="O8" s="292" t="str">
        <f>IFERROR('Race #1'!$AA7,"")</f>
        <v/>
      </c>
      <c r="P8" s="265">
        <f>IFERROR('Race #1'!$AB7,"")</f>
        <v>0</v>
      </c>
      <c r="Q8" s="266" t="str">
        <f>'Race #2'!O7</f>
        <v/>
      </c>
      <c r="R8" s="267" t="str">
        <f>IFERROR('Race #2'!$AA7,"")</f>
        <v/>
      </c>
      <c r="S8" s="268">
        <f>IFERROR('Race #2'!$AB7,"")</f>
        <v>0</v>
      </c>
      <c r="T8" s="266" t="str">
        <f>'Race #3'!O7</f>
        <v/>
      </c>
      <c r="U8" s="267" t="str">
        <f>IFERROR('Race #3'!AA7,"")</f>
        <v/>
      </c>
      <c r="V8" s="268">
        <f>IFERROR('Race #3'!$AB7,"")</f>
        <v>0</v>
      </c>
      <c r="W8" s="266" t="str">
        <f>'Race #4'!O7</f>
        <v/>
      </c>
      <c r="X8" s="267" t="str">
        <f>IFERROR('Race #4'!$AA7,"")</f>
        <v/>
      </c>
      <c r="Y8" s="268">
        <f>IFERROR('Race #4'!$AB7,"")</f>
        <v>0</v>
      </c>
      <c r="Z8" s="269" t="str">
        <f>'Race #5'!O7</f>
        <v/>
      </c>
      <c r="AA8" s="270" t="str">
        <f>IFERROR('Race #5'!$AA7,"")</f>
        <v/>
      </c>
      <c r="AB8" s="268">
        <f>IFERROR('Race #5'!$AB7,"")</f>
        <v>0</v>
      </c>
      <c r="AC8" s="266" t="str">
        <f>'Race #6'!O7</f>
        <v/>
      </c>
      <c r="AD8" s="267" t="str">
        <f>IFERROR('Race #6'!$AA7,"")</f>
        <v/>
      </c>
      <c r="AE8" s="268">
        <f>IFERROR('Race #6'!$AB7,"")</f>
        <v>0</v>
      </c>
      <c r="AF8" s="271" t="str">
        <f>'Race #7'!O7</f>
        <v/>
      </c>
      <c r="AG8" s="270" t="str">
        <f>IFERROR('Race #7'!$AA7,"")</f>
        <v/>
      </c>
      <c r="AH8" s="268">
        <f>IFERROR('Race #7'!$AB7,"")</f>
        <v>0</v>
      </c>
      <c r="AI8" s="266" t="str">
        <f>'Race #8'!O7</f>
        <v/>
      </c>
      <c r="AJ8" s="267" t="str">
        <f>IFERROR('Race #8'!$AA7,"")</f>
        <v/>
      </c>
      <c r="AK8" s="268">
        <f>IFERROR('Race #8'!$AB7,"")</f>
        <v>0</v>
      </c>
      <c r="AL8" s="272" t="str">
        <f>'Race #9'!O7</f>
        <v/>
      </c>
      <c r="AM8" s="270" t="str">
        <f>IFERROR('Race #9'!$AA7,"")</f>
        <v/>
      </c>
      <c r="AN8" s="268">
        <f>IFERROR('Race #9'!$AB7,"")</f>
        <v>0</v>
      </c>
      <c r="AO8" s="266" t="str">
        <f>'Race #10'!O7</f>
        <v/>
      </c>
      <c r="AP8" s="267" t="str">
        <f>IFERROR('Race #10'!$AA7,"")</f>
        <v/>
      </c>
      <c r="AQ8" s="267">
        <f>IFERROR('Race #10'!$AB7,"")</f>
        <v>0</v>
      </c>
      <c r="AR8" s="266" t="str">
        <f>'Race #11'!O7</f>
        <v/>
      </c>
      <c r="AS8" s="267" t="str">
        <f>IFERROR('Race #11'!$AA7,"")</f>
        <v/>
      </c>
      <c r="AT8" s="267">
        <f>IFERROR('Race #11'!$AB7,"")</f>
        <v>0</v>
      </c>
      <c r="AU8" s="273" t="str">
        <f t="shared" si="5"/>
        <v>Magoo</v>
      </c>
      <c r="AV8" s="361">
        <f t="shared" si="6"/>
        <v>0</v>
      </c>
      <c r="AW8" s="360">
        <f>IFERROR(SMALL((S8,V8,Y8,AB8,AE8,AH8,AK8,AN8,AQ8,AT8),1)+SMALL((S8,V8,Y8,AB8,AE8,AH8,AK8,AN8,AQ8,AT8),2),"")</f>
        <v>0</v>
      </c>
      <c r="AX8" s="274">
        <f t="shared" ref="AX8:AX19" si="9">AV8-AW8</f>
        <v>0</v>
      </c>
      <c r="AY8" s="275">
        <f t="shared" si="7"/>
        <v>11</v>
      </c>
    </row>
    <row r="9" spans="1:51" ht="30" customHeight="1" thickBot="1" x14ac:dyDescent="0.25">
      <c r="A9" s="203"/>
      <c r="B9" s="276">
        <f t="shared" si="0"/>
        <v>0</v>
      </c>
      <c r="C9" s="277">
        <f t="shared" si="1"/>
        <v>0</v>
      </c>
      <c r="D9" s="278">
        <f t="shared" si="2"/>
        <v>2</v>
      </c>
      <c r="E9" s="276">
        <f t="shared" si="3"/>
        <v>0</v>
      </c>
      <c r="F9" s="277">
        <f>COUNTIF('Race #1'!J8,"Yes")+COUNTIF('Race #2'!J8,"Yes")+COUNTIF('Race #3'!J8,"Yes")+COUNTIF('Race #4'!J8,"Yes")+COUNTIF('Race #5'!J8,"Yes")+COUNTIF('Race #6'!J8,"Yes")+COUNTIF('Race #7'!J8,"Yes")+COUNTIF('Race #8'!J8,"Yes")+COUNTIF('Race #9'!J8,"Yes")+COUNTIF('Race #10'!J8,"Yes")+COUNTIF('Race #11'!J8,"Yes")</f>
        <v>3</v>
      </c>
      <c r="G9" s="277">
        <f t="shared" si="4"/>
        <v>3</v>
      </c>
      <c r="H9" s="208" t="str">
        <f>'Roster and Starting Handicaps'!F10</f>
        <v>269-207-1953</v>
      </c>
      <c r="I9" s="279" t="str">
        <f>'Roster and Starting Handicaps'!C10</f>
        <v>Feng Shui</v>
      </c>
      <c r="J9" s="390" t="str">
        <f>'Roster and Starting Handicaps'!D10</f>
        <v>C&amp;C 34</v>
      </c>
      <c r="K9" s="391" t="str">
        <f>'Roster and Starting Handicaps'!E10</f>
        <v>Mike Finazzo</v>
      </c>
      <c r="L9" s="293">
        <v>164.2</v>
      </c>
      <c r="M9" s="280">
        <v>178.2</v>
      </c>
      <c r="N9" s="281">
        <f>'Race #1'!O8</f>
        <v>2</v>
      </c>
      <c r="O9" s="282">
        <f>IFERROR('Race #1'!$AA8,"")</f>
        <v>3</v>
      </c>
      <c r="P9" s="283">
        <f>IFERROR('Race #1'!$AB8,"")</f>
        <v>4</v>
      </c>
      <c r="Q9" s="284">
        <f>'Race #2'!O8</f>
        <v>2</v>
      </c>
      <c r="R9" s="285">
        <f>IFERROR('Race #2'!$AA8,"")</f>
        <v>3</v>
      </c>
      <c r="S9" s="286">
        <f>IFERROR('Race #2'!$AB8,"")</f>
        <v>4</v>
      </c>
      <c r="T9" s="284">
        <f>'Race #3'!O8</f>
        <v>3</v>
      </c>
      <c r="U9" s="285">
        <f>IFERROR('Race #3'!AA8,"")</f>
        <v>5</v>
      </c>
      <c r="V9" s="286">
        <f>IFERROR('Race #3'!$AB8,"")</f>
        <v>2</v>
      </c>
      <c r="W9" s="284" t="str">
        <f>'Race #4'!O8</f>
        <v/>
      </c>
      <c r="X9" s="285" t="str">
        <f>IFERROR('Race #4'!$AA8,"")</f>
        <v/>
      </c>
      <c r="Y9" s="286">
        <f>IFERROR('Race #4'!$AB8,"")</f>
        <v>0</v>
      </c>
      <c r="Z9" s="287" t="str">
        <f>'Race #5'!O8</f>
        <v/>
      </c>
      <c r="AA9" s="288" t="str">
        <f>IFERROR('Race #5'!$AA8,"")</f>
        <v/>
      </c>
      <c r="AB9" s="286">
        <f>IFERROR('Race #5'!$AB8,"")</f>
        <v>0</v>
      </c>
      <c r="AC9" s="284" t="str">
        <f>'Race #6'!O8</f>
        <v/>
      </c>
      <c r="AD9" s="285" t="str">
        <f>IFERROR('Race #6'!$AA8,"")</f>
        <v/>
      </c>
      <c r="AE9" s="286">
        <f>IFERROR('Race #6'!$AB8,"")</f>
        <v>0</v>
      </c>
      <c r="AF9" s="289" t="str">
        <f>'Race #7'!O8</f>
        <v/>
      </c>
      <c r="AG9" s="288" t="str">
        <f>IFERROR('Race #7'!$AA8,"")</f>
        <v/>
      </c>
      <c r="AH9" s="286">
        <f>IFERROR('Race #7'!$AB8,"")</f>
        <v>0</v>
      </c>
      <c r="AI9" s="284" t="str">
        <f>'Race #8'!O8</f>
        <v/>
      </c>
      <c r="AJ9" s="285" t="str">
        <f>IFERROR('Race #8'!$AA8,"")</f>
        <v/>
      </c>
      <c r="AK9" s="286">
        <f>IFERROR('Race #8'!$AB8,"")</f>
        <v>0</v>
      </c>
      <c r="AL9" s="290" t="str">
        <f>'Race #9'!O8</f>
        <v/>
      </c>
      <c r="AM9" s="288" t="str">
        <f>IFERROR('Race #9'!$AA8,"")</f>
        <v/>
      </c>
      <c r="AN9" s="286">
        <f>IFERROR('Race #9'!$AB8,"")</f>
        <v>0</v>
      </c>
      <c r="AO9" s="284" t="str">
        <f>'Race #10'!O8</f>
        <v/>
      </c>
      <c r="AP9" s="285" t="str">
        <f>IFERROR('Race #10'!$AA8,"")</f>
        <v/>
      </c>
      <c r="AQ9" s="285">
        <f>IFERROR('Race #10'!$AB8,"")</f>
        <v>0</v>
      </c>
      <c r="AR9" s="284" t="str">
        <f>'Race #11'!O8</f>
        <v/>
      </c>
      <c r="AS9" s="285" t="str">
        <f>IFERROR('Race #11'!$AA8,"")</f>
        <v/>
      </c>
      <c r="AT9" s="285">
        <f>IFERROR('Race #11'!$AB8,"")</f>
        <v>0</v>
      </c>
      <c r="AU9" s="291" t="str">
        <f t="shared" si="5"/>
        <v>Feng Shui</v>
      </c>
      <c r="AV9" s="361">
        <f t="shared" si="6"/>
        <v>10</v>
      </c>
      <c r="AW9" s="360">
        <f>IFERROR(SMALL((S9,V9,Y9,AB9,AE9,AH9,AK9,AN9,AQ9,AT9),1)+SMALL((S9,V9,Y9,AB9,AE9,AH9,AK9,AN9,AQ9,AT9),2),"")</f>
        <v>0</v>
      </c>
      <c r="AX9" s="274">
        <f>AV9-AW9</f>
        <v>10</v>
      </c>
      <c r="AY9" s="275">
        <f t="shared" si="7"/>
        <v>3</v>
      </c>
    </row>
    <row r="10" spans="1:51" ht="30" customHeight="1" thickBot="1" x14ac:dyDescent="0.25">
      <c r="A10" s="203"/>
      <c r="B10" s="257">
        <f t="shared" si="0"/>
        <v>0</v>
      </c>
      <c r="C10" s="258">
        <f t="shared" si="1"/>
        <v>0</v>
      </c>
      <c r="D10" s="259">
        <f t="shared" si="2"/>
        <v>1</v>
      </c>
      <c r="E10" s="257">
        <f t="shared" si="3"/>
        <v>0</v>
      </c>
      <c r="F10" s="258">
        <f>COUNTIF('Race #1'!J9,"Yes")+COUNTIF('Race #2'!J9,"Yes")+COUNTIF('Race #3'!J9,"Yes")+COUNTIF('Race #4'!J9,"Yes")+COUNTIF('Race #5'!J9,"Yes")+COUNTIF('Race #6'!J9,"Yes")+COUNTIF('Race #7'!J9,"Yes")+COUNTIF('Race #8'!J9,"Yes")+COUNTIF('Race #9'!J9,"Yes")+COUNTIF('Race #10'!J9,"Yes")+COUNTIF('Race #11'!J9,"Yes")</f>
        <v>3</v>
      </c>
      <c r="G10" s="258">
        <f t="shared" si="4"/>
        <v>3</v>
      </c>
      <c r="H10" s="207" t="str">
        <f>'Roster and Starting Handicaps'!F11</f>
        <v>619-292-9113</v>
      </c>
      <c r="I10" s="260" t="str">
        <f>'Roster and Starting Handicaps'!C11</f>
        <v>Grin</v>
      </c>
      <c r="J10" s="388" t="str">
        <f>'Roster and Starting Handicaps'!D11</f>
        <v>Ericson 32-200</v>
      </c>
      <c r="K10" s="389" t="str">
        <f>'Roster and Starting Handicaps'!E11</f>
        <v>John Woomer</v>
      </c>
      <c r="L10" s="262">
        <v>194.4</v>
      </c>
      <c r="M10" s="262">
        <v>206.4</v>
      </c>
      <c r="N10" s="263" t="str">
        <f>'Race #1'!O9</f>
        <v/>
      </c>
      <c r="O10" s="264" t="str">
        <f>IFERROR('Race #1'!$AA9,"")</f>
        <v/>
      </c>
      <c r="P10" s="265">
        <f>IFERROR('Race #1'!$AB9,"")</f>
        <v>0</v>
      </c>
      <c r="Q10" s="266">
        <f>'Race #2'!O9</f>
        <v>4</v>
      </c>
      <c r="R10" s="267">
        <f>IFERROR('Race #2'!$AA9,"")</f>
        <v>5</v>
      </c>
      <c r="S10" s="268">
        <f>IFERROR('Race #2'!$AB9,"")</f>
        <v>2</v>
      </c>
      <c r="T10" s="266">
        <f>'Race #3'!O9</f>
        <v>5</v>
      </c>
      <c r="U10" s="267">
        <f>IFERROR('Race #3'!AA9,"")</f>
        <v>3</v>
      </c>
      <c r="V10" s="268">
        <f>IFERROR('Race #3'!$AB9,"")</f>
        <v>4</v>
      </c>
      <c r="W10" s="266">
        <f>'Race #4'!O9</f>
        <v>4</v>
      </c>
      <c r="X10" s="267">
        <f>IFERROR('Race #4'!$AA9,"")</f>
        <v>4</v>
      </c>
      <c r="Y10" s="268">
        <f>IFERROR('Race #4'!$AB9,"")</f>
        <v>3</v>
      </c>
      <c r="Z10" s="269" t="str">
        <f>'Race #5'!O9</f>
        <v/>
      </c>
      <c r="AA10" s="270" t="str">
        <f>IFERROR('Race #5'!$AA9,"")</f>
        <v/>
      </c>
      <c r="AB10" s="268">
        <f>IFERROR('Race #5'!$AB9,"")</f>
        <v>0</v>
      </c>
      <c r="AC10" s="266" t="str">
        <f>'Race #6'!O9</f>
        <v/>
      </c>
      <c r="AD10" s="267" t="str">
        <f>IFERROR('Race #6'!$AA9,"")</f>
        <v/>
      </c>
      <c r="AE10" s="268">
        <f>IFERROR('Race #6'!$AB9,"")</f>
        <v>0</v>
      </c>
      <c r="AF10" s="271" t="str">
        <f>'Race #7'!O9</f>
        <v/>
      </c>
      <c r="AG10" s="270" t="str">
        <f>IFERROR('Race #7'!$AA9,"")</f>
        <v/>
      </c>
      <c r="AH10" s="268">
        <f>IFERROR('Race #7'!$AB9,"")</f>
        <v>0</v>
      </c>
      <c r="AI10" s="266" t="str">
        <f>'Race #8'!O9</f>
        <v/>
      </c>
      <c r="AJ10" s="267" t="str">
        <f>IFERROR('Race #8'!$AA9,"")</f>
        <v/>
      </c>
      <c r="AK10" s="268">
        <f>IFERROR('Race #8'!$AB9,"")</f>
        <v>0</v>
      </c>
      <c r="AL10" s="272" t="str">
        <f>'Race #9'!O9</f>
        <v/>
      </c>
      <c r="AM10" s="270" t="str">
        <f>IFERROR('Race #9'!$AA9,"")</f>
        <v/>
      </c>
      <c r="AN10" s="268">
        <f>IFERROR('Race #9'!$AB9,"")</f>
        <v>0</v>
      </c>
      <c r="AO10" s="266" t="str">
        <f>'Race #10'!O9</f>
        <v/>
      </c>
      <c r="AP10" s="267" t="str">
        <f>IFERROR('Race #10'!$AA9,"")</f>
        <v/>
      </c>
      <c r="AQ10" s="267">
        <f>IFERROR('Race #10'!$AB9,"")</f>
        <v>0</v>
      </c>
      <c r="AR10" s="266" t="str">
        <f>'Race #11'!O9</f>
        <v/>
      </c>
      <c r="AS10" s="267" t="str">
        <f>IFERROR('Race #11'!$AA9,"")</f>
        <v/>
      </c>
      <c r="AT10" s="267">
        <f>IFERROR('Race #11'!$AB9,"")</f>
        <v>0</v>
      </c>
      <c r="AU10" s="273" t="str">
        <f t="shared" si="5"/>
        <v>Grin</v>
      </c>
      <c r="AV10" s="361">
        <f t="shared" si="6"/>
        <v>9</v>
      </c>
      <c r="AW10" s="360">
        <f>IFERROR(SMALL((S10,V10,Y10,AB10,AE10,AH10,AK10,AN10,AQ10,AT10),1)+SMALL((S10,V10,Y10,AB10,AE10,AH10,AK10,AN10,AQ10,AT10),2),"")</f>
        <v>0</v>
      </c>
      <c r="AX10" s="274">
        <f t="shared" si="9"/>
        <v>9</v>
      </c>
      <c r="AY10" s="275">
        <f t="shared" si="7"/>
        <v>4</v>
      </c>
    </row>
    <row r="11" spans="1:51" ht="30" customHeight="1" thickBot="1" x14ac:dyDescent="0.25">
      <c r="A11" s="203"/>
      <c r="B11" s="276">
        <f t="shared" si="0"/>
        <v>0</v>
      </c>
      <c r="C11" s="277">
        <f t="shared" si="1"/>
        <v>2</v>
      </c>
      <c r="D11" s="278">
        <f t="shared" si="2"/>
        <v>0</v>
      </c>
      <c r="E11" s="276">
        <f t="shared" si="3"/>
        <v>1</v>
      </c>
      <c r="F11" s="277">
        <f>COUNTIF('Race #1'!J10,"Yes")+COUNTIF('Race #2'!J10,"Yes")+COUNTIF('Race #3'!J10,"Yes")+COUNTIF('Race #4'!J10,"Yes")+COUNTIF('Race #5'!J10,"Yes")+COUNTIF('Race #6'!J10,"Yes")+COUNTIF('Race #7'!J10,"Yes")+COUNTIF('Race #8'!J10,"Yes")+COUNTIF('Race #9'!J10,"Yes")+COUNTIF('Race #10'!J10,"Yes")+COUNTIF('Race #11'!J10,"Yes")</f>
        <v>3</v>
      </c>
      <c r="G11" s="277">
        <f t="shared" si="4"/>
        <v>3</v>
      </c>
      <c r="H11" s="208" t="str">
        <f>'Roster and Starting Handicaps'!F12</f>
        <v>415-308-3418</v>
      </c>
      <c r="I11" s="279" t="str">
        <f>'Roster and Starting Handicaps'!C12</f>
        <v>KristinB II</v>
      </c>
      <c r="J11" s="390" t="str">
        <f>'Roster and Starting Handicaps'!D12</f>
        <v>Catalina 36 TM</v>
      </c>
      <c r="K11" s="391" t="str">
        <f>'Roster and Starting Handicaps'!E12</f>
        <v>Mike Cann</v>
      </c>
      <c r="L11" s="280">
        <v>162</v>
      </c>
      <c r="M11" s="280">
        <v>176.1</v>
      </c>
      <c r="N11" s="281">
        <f>'Race #1'!O10</f>
        <v>1</v>
      </c>
      <c r="O11" s="282">
        <f>IFERROR('Race #1'!$AA10,"")</f>
        <v>2</v>
      </c>
      <c r="P11" s="283">
        <f>IFERROR('Race #1'!$AB10,"")</f>
        <v>5</v>
      </c>
      <c r="Q11" s="284" t="str">
        <f>'Race #2'!O10</f>
        <v/>
      </c>
      <c r="R11" s="285" t="str">
        <f>IFERROR('Race #2'!$AA10,"")</f>
        <v/>
      </c>
      <c r="S11" s="286">
        <f>IFERROR('Race #2'!$AB10,"")</f>
        <v>0</v>
      </c>
      <c r="T11" s="284">
        <f>'Race #3'!O10</f>
        <v>2</v>
      </c>
      <c r="U11" s="285">
        <f>IFERROR('Race #3'!AA10,"")</f>
        <v>4</v>
      </c>
      <c r="V11" s="286">
        <f>IFERROR('Race #3'!$AB10,"")</f>
        <v>3</v>
      </c>
      <c r="W11" s="284">
        <f>'Race #4'!O10</f>
        <v>2</v>
      </c>
      <c r="X11" s="285">
        <f>IFERROR('Race #4'!$AA10,"")</f>
        <v>2</v>
      </c>
      <c r="Y11" s="286">
        <f>IFERROR('Race #4'!$AB10,"")</f>
        <v>5</v>
      </c>
      <c r="Z11" s="287" t="str">
        <f>'Race #5'!O10</f>
        <v/>
      </c>
      <c r="AA11" s="288" t="str">
        <f>IFERROR('Race #5'!$AA10,"")</f>
        <v/>
      </c>
      <c r="AB11" s="286">
        <f>IFERROR('Race #5'!$AB10,"")</f>
        <v>0</v>
      </c>
      <c r="AC11" s="284" t="str">
        <f>'Race #6'!O10</f>
        <v/>
      </c>
      <c r="AD11" s="285" t="str">
        <f>IFERROR('Race #6'!$AA10,"")</f>
        <v/>
      </c>
      <c r="AE11" s="286">
        <f>IFERROR('Race #6'!$AB10,"")</f>
        <v>0</v>
      </c>
      <c r="AF11" s="289" t="str">
        <f>'Race #7'!O10</f>
        <v/>
      </c>
      <c r="AG11" s="288" t="str">
        <f>IFERROR('Race #7'!$AA10,"")</f>
        <v/>
      </c>
      <c r="AH11" s="286">
        <f>IFERROR('Race #7'!$AB10,"")</f>
        <v>0</v>
      </c>
      <c r="AI11" s="284" t="str">
        <f>'Race #8'!O10</f>
        <v/>
      </c>
      <c r="AJ11" s="285" t="str">
        <f>IFERROR('Race #8'!$AA10,"")</f>
        <v/>
      </c>
      <c r="AK11" s="286">
        <f>IFERROR('Race #8'!$AB10,"")</f>
        <v>0</v>
      </c>
      <c r="AL11" s="290" t="str">
        <f>'Race #9'!O10</f>
        <v/>
      </c>
      <c r="AM11" s="288" t="str">
        <f>IFERROR('Race #9'!$AA10,"")</f>
        <v/>
      </c>
      <c r="AN11" s="286">
        <f>IFERROR('Race #9'!$AB10,"")</f>
        <v>0</v>
      </c>
      <c r="AO11" s="284" t="str">
        <f>'Race #10'!O10</f>
        <v/>
      </c>
      <c r="AP11" s="285" t="str">
        <f>IFERROR('Race #10'!$AA10,"")</f>
        <v/>
      </c>
      <c r="AQ11" s="285">
        <f>IFERROR('Race #10'!$AB10,"")</f>
        <v>0</v>
      </c>
      <c r="AR11" s="284" t="str">
        <f>'Race #11'!O10</f>
        <v/>
      </c>
      <c r="AS11" s="285" t="str">
        <f>IFERROR('Race #11'!$AA10,"")</f>
        <v/>
      </c>
      <c r="AT11" s="285">
        <f>IFERROR('Race #11'!$AB10,"")</f>
        <v>0</v>
      </c>
      <c r="AU11" s="291" t="str">
        <f t="shared" si="5"/>
        <v>KristinB II</v>
      </c>
      <c r="AV11" s="361">
        <f t="shared" si="6"/>
        <v>13</v>
      </c>
      <c r="AW11" s="360">
        <f>IFERROR(SMALL((S11,V11,Y11,AB11,AE11,AH11,AK11,AN11,AQ11,AT11),1)+SMALL((S11,V11,Y11,AB11,AE11,AH11,AK11,AN11,AQ11,AT11),2),"")</f>
        <v>0</v>
      </c>
      <c r="AX11" s="274">
        <f>AV11-AW11</f>
        <v>13</v>
      </c>
      <c r="AY11" s="275">
        <f t="shared" si="7"/>
        <v>2</v>
      </c>
    </row>
    <row r="12" spans="1:51" ht="30" customHeight="1" thickBot="1" x14ac:dyDescent="0.25">
      <c r="A12" s="203"/>
      <c r="B12" s="276">
        <f t="shared" si="0"/>
        <v>0</v>
      </c>
      <c r="C12" s="277">
        <f t="shared" si="1"/>
        <v>1</v>
      </c>
      <c r="D12" s="278">
        <f t="shared" si="2"/>
        <v>0</v>
      </c>
      <c r="E12" s="276">
        <f t="shared" si="3"/>
        <v>0</v>
      </c>
      <c r="F12" s="277">
        <f>COUNTIF('Race #1'!J11,"Yes")+COUNTIF('Race #2'!J11,"Yes")+COUNTIF('Race #3'!J11,"Yes")+COUNTIF('Race #4'!J11,"Yes")+COUNTIF('Race #5'!J11,"Yes")+COUNTIF('Race #6'!J11,"Yes")+COUNTIF('Race #7'!J11,"Yes")+COUNTIF('Race #8'!J11,"Yes")+COUNTIF('Race #9'!J11,"Yes")+COUNTIF('Race #10'!J11,"Yes")+COUNTIF('Race #11'!J11,"Yes")</f>
        <v>2</v>
      </c>
      <c r="G12" s="277">
        <f t="shared" si="4"/>
        <v>2</v>
      </c>
      <c r="H12" s="208" t="str">
        <f>'Roster and Starting Handicaps'!F13</f>
        <v>231-386-2290</v>
      </c>
      <c r="I12" s="279" t="str">
        <f>'Roster and Starting Handicaps'!C13</f>
        <v>Lone Gull</v>
      </c>
      <c r="J12" s="390" t="str">
        <f>'Roster and Starting Handicaps'!D13</f>
        <v>Cal 20</v>
      </c>
      <c r="K12" s="391" t="str">
        <f>'Roster and Starting Handicaps'!E13</f>
        <v>Kevin Savage</v>
      </c>
      <c r="L12" s="280">
        <v>280</v>
      </c>
      <c r="M12" s="280">
        <v>288</v>
      </c>
      <c r="N12" s="281">
        <f>'Race #1'!O11</f>
        <v>4</v>
      </c>
      <c r="O12" s="282">
        <f>IFERROR('Race #1'!$AA11,"")</f>
        <v>4</v>
      </c>
      <c r="P12" s="283">
        <f>IFERROR('Race #1'!$AB11,"")</f>
        <v>3</v>
      </c>
      <c r="Q12" s="284" t="str">
        <f>'Race #2'!O11</f>
        <v/>
      </c>
      <c r="R12" s="285" t="str">
        <f>IFERROR('Race #2'!$AA11,"")</f>
        <v/>
      </c>
      <c r="S12" s="286">
        <f>IFERROR('Race #2'!$AB11,"")</f>
        <v>0</v>
      </c>
      <c r="T12" s="284">
        <f>'Race #3'!O11</f>
        <v>8</v>
      </c>
      <c r="U12" s="285">
        <f>IFERROR('Race #3'!AA11,"")</f>
        <v>2</v>
      </c>
      <c r="V12" s="286">
        <f>IFERROR('Race #3'!$AB11,"")</f>
        <v>5</v>
      </c>
      <c r="W12" s="284" t="str">
        <f>'Race #4'!O11</f>
        <v/>
      </c>
      <c r="X12" s="285" t="str">
        <f>IFERROR('Race #4'!$AA11,"")</f>
        <v/>
      </c>
      <c r="Y12" s="286">
        <f>IFERROR('Race #4'!$AB11,"")</f>
        <v>0</v>
      </c>
      <c r="Z12" s="287" t="str">
        <f>'Race #5'!O11</f>
        <v/>
      </c>
      <c r="AA12" s="288" t="str">
        <f>IFERROR('Race #5'!$AA11,"")</f>
        <v/>
      </c>
      <c r="AB12" s="286">
        <f>IFERROR('Race #5'!$AB11,"")</f>
        <v>0</v>
      </c>
      <c r="AC12" s="284" t="str">
        <f>'Race #6'!O11</f>
        <v/>
      </c>
      <c r="AD12" s="285" t="str">
        <f>IFERROR('Race #6'!$AA11,"")</f>
        <v/>
      </c>
      <c r="AE12" s="286">
        <f>IFERROR('Race #6'!$AB11,"")</f>
        <v>0</v>
      </c>
      <c r="AF12" s="289" t="str">
        <f>'Race #7'!O11</f>
        <v/>
      </c>
      <c r="AG12" s="288" t="str">
        <f>IFERROR('Race #7'!$AA11,"")</f>
        <v/>
      </c>
      <c r="AH12" s="286">
        <f>IFERROR('Race #7'!$AB11,"")</f>
        <v>0</v>
      </c>
      <c r="AI12" s="284" t="str">
        <f>'Race #8'!O11</f>
        <v/>
      </c>
      <c r="AJ12" s="285" t="str">
        <f>IFERROR('Race #8'!$AA11,"")</f>
        <v/>
      </c>
      <c r="AK12" s="286">
        <f>IFERROR('Race #8'!$AB11,"")</f>
        <v>0</v>
      </c>
      <c r="AL12" s="290" t="str">
        <f>'Race #9'!O11</f>
        <v/>
      </c>
      <c r="AM12" s="288" t="str">
        <f>IFERROR('Race #9'!$AA11,"")</f>
        <v/>
      </c>
      <c r="AN12" s="286">
        <f>IFERROR('Race #9'!$AB11,"")</f>
        <v>0</v>
      </c>
      <c r="AO12" s="284" t="str">
        <f>'Race #10'!O11</f>
        <v/>
      </c>
      <c r="AP12" s="285" t="str">
        <f>IFERROR('Race #10'!$AA11,"")</f>
        <v/>
      </c>
      <c r="AQ12" s="285">
        <f>IFERROR('Race #10'!$AB11,"")</f>
        <v>0</v>
      </c>
      <c r="AR12" s="284" t="str">
        <f>'Race #11'!O11</f>
        <v/>
      </c>
      <c r="AS12" s="285" t="str">
        <f>IFERROR('Race #11'!$AA11,"")</f>
        <v/>
      </c>
      <c r="AT12" s="285">
        <f>IFERROR('Race #11'!$AB11,"")</f>
        <v>0</v>
      </c>
      <c r="AU12" s="291" t="str">
        <f t="shared" si="5"/>
        <v>Lone Gull</v>
      </c>
      <c r="AV12" s="361">
        <f t="shared" si="6"/>
        <v>8</v>
      </c>
      <c r="AW12" s="360">
        <f>IFERROR(SMALL((S12,V12,Y12,AB12,AE12,AH12,AK12,AN12,AQ12,AT12),1)+SMALL((S12,V12,Y12,AB12,AE12,AH12,AK12,AN12,AQ12,AT12),2),"")</f>
        <v>0</v>
      </c>
      <c r="AX12" s="274">
        <f>AV12-AW12</f>
        <v>8</v>
      </c>
      <c r="AY12" s="275">
        <f t="shared" si="7"/>
        <v>6</v>
      </c>
    </row>
    <row r="13" spans="1:51" ht="30" customHeight="1" thickBot="1" x14ac:dyDescent="0.25">
      <c r="A13" s="203"/>
      <c r="B13" s="257">
        <f t="shared" si="0"/>
        <v>1</v>
      </c>
      <c r="C13" s="258">
        <f t="shared" si="1"/>
        <v>0</v>
      </c>
      <c r="D13" s="259">
        <f t="shared" si="2"/>
        <v>0</v>
      </c>
      <c r="E13" s="257">
        <f t="shared" si="3"/>
        <v>0</v>
      </c>
      <c r="F13" s="258">
        <f>COUNTIF('Race #1'!J12,"Yes")+COUNTIF('Race #2'!J12,"Yes")+COUNTIF('Race #3'!J12,"Yes")+COUNTIF('Race #4'!J12,"Yes")+COUNTIF('Race #5'!J12,"Yes")+COUNTIF('Race #6'!J12,"Yes")+COUNTIF('Race #7'!J12,"Yes")+COUNTIF('Race #8'!J12,"Yes")+COUNTIF('Race #9'!J12,"Yes")+COUNTIF('Race #10'!J12,"Yes")+COUNTIF('Race #11'!J12,"Yes")</f>
        <v>2</v>
      </c>
      <c r="G13" s="258">
        <f t="shared" si="4"/>
        <v>2</v>
      </c>
      <c r="H13" s="207" t="str">
        <f>'Roster and Starting Handicaps'!F14</f>
        <v>336-480-6122</v>
      </c>
      <c r="I13" s="260" t="str">
        <f>'Roster and Starting Handicaps'!C14</f>
        <v>MacGuffin</v>
      </c>
      <c r="J13" s="388" t="str">
        <f>'Roster and Starting Handicaps'!D14</f>
        <v>Shock Harbor 25</v>
      </c>
      <c r="K13" s="389" t="str">
        <f>'Roster and Starting Handicaps'!E14</f>
        <v>Darryl Rosenbaum</v>
      </c>
      <c r="L13" s="262">
        <v>270</v>
      </c>
      <c r="M13" s="262">
        <v>276.2</v>
      </c>
      <c r="N13" s="263" t="str">
        <f>'Race #1'!O12</f>
        <v/>
      </c>
      <c r="O13" s="264" t="str">
        <f>IFERROR('Race #1'!$AA12,"")</f>
        <v/>
      </c>
      <c r="P13" s="265">
        <f>IFERROR('Race #1'!$AB12,"")</f>
        <v>0</v>
      </c>
      <c r="Q13" s="266">
        <f>'Race #2'!O12</f>
        <v>6</v>
      </c>
      <c r="R13" s="267">
        <f>IFERROR('Race #2'!$AA12,"")</f>
        <v>4</v>
      </c>
      <c r="S13" s="268">
        <f>IFERROR('Race #2'!$AB12,"")</f>
        <v>3</v>
      </c>
      <c r="T13" s="266">
        <f>'Race #3'!O12</f>
        <v>6</v>
      </c>
      <c r="U13" s="267">
        <f>IFERROR('Race #3'!AA12,"")</f>
        <v>1</v>
      </c>
      <c r="V13" s="268">
        <f>IFERROR('Race #3'!$AB12,"")</f>
        <v>6</v>
      </c>
      <c r="W13" s="266" t="str">
        <f>'Race #4'!O12</f>
        <v/>
      </c>
      <c r="X13" s="267" t="str">
        <f>IFERROR('Race #4'!$AA12,"")</f>
        <v/>
      </c>
      <c r="Y13" s="268">
        <f>IFERROR('Race #4'!$AB12,"")</f>
        <v>0</v>
      </c>
      <c r="Z13" s="269" t="str">
        <f>'Race #5'!O12</f>
        <v/>
      </c>
      <c r="AA13" s="270" t="str">
        <f>IFERROR('Race #5'!$AA12,"")</f>
        <v/>
      </c>
      <c r="AB13" s="268">
        <f>IFERROR('Race #5'!$AB12,"")</f>
        <v>0</v>
      </c>
      <c r="AC13" s="266" t="str">
        <f>'Race #6'!O12</f>
        <v/>
      </c>
      <c r="AD13" s="267" t="str">
        <f>IFERROR('Race #6'!$AA12,"")</f>
        <v/>
      </c>
      <c r="AE13" s="268">
        <f>IFERROR('Race #6'!$AB12,"")</f>
        <v>0</v>
      </c>
      <c r="AF13" s="271" t="str">
        <f>'Race #7'!O12</f>
        <v/>
      </c>
      <c r="AG13" s="270" t="str">
        <f>IFERROR('Race #7'!$AA12,"")</f>
        <v/>
      </c>
      <c r="AH13" s="268">
        <f>IFERROR('Race #7'!$AB12,"")</f>
        <v>0</v>
      </c>
      <c r="AI13" s="266" t="str">
        <f>'Race #8'!O12</f>
        <v/>
      </c>
      <c r="AJ13" s="267" t="str">
        <f>IFERROR('Race #8'!$AA12,"")</f>
        <v/>
      </c>
      <c r="AK13" s="268">
        <f>IFERROR('Race #8'!$AB12,"")</f>
        <v>0</v>
      </c>
      <c r="AL13" s="272" t="str">
        <f>'Race #9'!O12</f>
        <v/>
      </c>
      <c r="AM13" s="270" t="str">
        <f>IFERROR('Race #9'!$AA12,"")</f>
        <v/>
      </c>
      <c r="AN13" s="268">
        <f>IFERROR('Race #9'!$AB12,"")</f>
        <v>0</v>
      </c>
      <c r="AO13" s="266" t="str">
        <f>'Race #10'!O12</f>
        <v/>
      </c>
      <c r="AP13" s="267" t="str">
        <f>IFERROR('Race #10'!$AA12,"")</f>
        <v/>
      </c>
      <c r="AQ13" s="267">
        <f>IFERROR('Race #10'!$AB12,"")</f>
        <v>0</v>
      </c>
      <c r="AR13" s="266" t="str">
        <f>'Race #11'!O12</f>
        <v/>
      </c>
      <c r="AS13" s="267" t="str">
        <f>IFERROR('Race #11'!$AA12,"")</f>
        <v/>
      </c>
      <c r="AT13" s="267">
        <f>IFERROR('Race #11'!$AB12,"")</f>
        <v>0</v>
      </c>
      <c r="AU13" s="273" t="str">
        <f t="shared" si="5"/>
        <v>MacGuffin</v>
      </c>
      <c r="AV13" s="361">
        <f t="shared" si="6"/>
        <v>9</v>
      </c>
      <c r="AW13" s="360">
        <f>IFERROR(SMALL((S13,V13,Y13,AB13,AE13,AH13,AK13,AN13,AQ13,AT13),1)+SMALL((S13,V13,Y13,AB13,AE13,AH13,AK13,AN13,AQ13,AT13),2),"")</f>
        <v>0</v>
      </c>
      <c r="AX13" s="274">
        <f t="shared" si="9"/>
        <v>9</v>
      </c>
      <c r="AY13" s="275">
        <f t="shared" si="7"/>
        <v>4</v>
      </c>
    </row>
    <row r="14" spans="1:51" ht="30" customHeight="1" thickBot="1" x14ac:dyDescent="0.25">
      <c r="A14" s="203"/>
      <c r="B14" s="276">
        <f t="shared" si="0"/>
        <v>0</v>
      </c>
      <c r="C14" s="277">
        <f t="shared" si="1"/>
        <v>0</v>
      </c>
      <c r="D14" s="278">
        <f t="shared" si="2"/>
        <v>0</v>
      </c>
      <c r="E14" s="276">
        <f t="shared" si="3"/>
        <v>0</v>
      </c>
      <c r="F14" s="277">
        <f>COUNTIF('Race #1'!J13,"Yes")+COUNTIF('Race #2'!J13,"Yes")+COUNTIF('Race #3'!J13,"Yes")+COUNTIF('Race #4'!J13,"Yes")+COUNTIF('Race #5'!J13,"Yes")+COUNTIF('Race #6'!J13,"Yes")+COUNTIF('Race #7'!J13,"Yes")+COUNTIF('Race #8'!J13,"Yes")+COUNTIF('Race #9'!J13,"Yes")+COUNTIF('Race #10'!J13,"Yes")+COUNTIF('Race #11'!J13,"Yes")</f>
        <v>1</v>
      </c>
      <c r="G14" s="277">
        <f t="shared" si="4"/>
        <v>1</v>
      </c>
      <c r="H14" s="208" t="str">
        <f>'Roster and Starting Handicaps'!F15</f>
        <v>916-799-3351</v>
      </c>
      <c r="I14" s="279" t="str">
        <f>'Roster and Starting Handicaps'!C15</f>
        <v>Mirabelle</v>
      </c>
      <c r="J14" s="390" t="str">
        <f>'Roster and Starting Handicaps'!D15</f>
        <v>Cape Dory 32</v>
      </c>
      <c r="K14" s="391" t="str">
        <f>'Roster and Starting Handicaps'!E15</f>
        <v>Campbell McLeod</v>
      </c>
      <c r="L14" s="280">
        <v>218.4</v>
      </c>
      <c r="M14" s="280">
        <v>227.4</v>
      </c>
      <c r="N14" s="281" t="str">
        <f>'Race #1'!O13</f>
        <v/>
      </c>
      <c r="O14" s="282" t="str">
        <f>IFERROR('Race #1'!$AA13,"")</f>
        <v/>
      </c>
      <c r="P14" s="283">
        <f>IFERROR('Race #1'!$AB13,"")</f>
        <v>0</v>
      </c>
      <c r="Q14" s="284">
        <f>'Race #2'!O13</f>
        <v>5</v>
      </c>
      <c r="R14" s="285">
        <f>IFERROR('Race #2'!$AA13,"")</f>
        <v>6</v>
      </c>
      <c r="S14" s="286">
        <f>IFERROR('Race #2'!$AB13,"")</f>
        <v>1</v>
      </c>
      <c r="T14" s="284" t="str">
        <f>'Race #3'!O13</f>
        <v/>
      </c>
      <c r="U14" s="285" t="str">
        <f>IFERROR('Race #3'!AA13,"")</f>
        <v/>
      </c>
      <c r="V14" s="286">
        <f>IFERROR('Race #3'!$AB13,"")</f>
        <v>0</v>
      </c>
      <c r="W14" s="284" t="str">
        <f>'Race #4'!O13</f>
        <v/>
      </c>
      <c r="X14" s="285" t="str">
        <f>IFERROR('Race #4'!$AA13,"")</f>
        <v/>
      </c>
      <c r="Y14" s="286">
        <f>IFERROR('Race #4'!$AB13,"")</f>
        <v>0</v>
      </c>
      <c r="Z14" s="287" t="str">
        <f>'Race #5'!O13</f>
        <v/>
      </c>
      <c r="AA14" s="288" t="str">
        <f>IFERROR('Race #5'!$AA13,"")</f>
        <v/>
      </c>
      <c r="AB14" s="286">
        <f>IFERROR('Race #5'!$AB13,"")</f>
        <v>0</v>
      </c>
      <c r="AC14" s="284" t="str">
        <f>'Race #6'!O13</f>
        <v/>
      </c>
      <c r="AD14" s="285" t="str">
        <f>IFERROR('Race #6'!$AA13,"")</f>
        <v/>
      </c>
      <c r="AE14" s="286">
        <f>IFERROR('Race #6'!$AB13,"")</f>
        <v>0</v>
      </c>
      <c r="AF14" s="289" t="str">
        <f>'Race #7'!O13</f>
        <v/>
      </c>
      <c r="AG14" s="288" t="str">
        <f>IFERROR('Race #7'!$AA13,"")</f>
        <v/>
      </c>
      <c r="AH14" s="286">
        <f>IFERROR('Race #7'!$AB13,"")</f>
        <v>0</v>
      </c>
      <c r="AI14" s="284" t="str">
        <f>'Race #8'!O13</f>
        <v/>
      </c>
      <c r="AJ14" s="285" t="str">
        <f>IFERROR('Race #8'!$AA13,"")</f>
        <v/>
      </c>
      <c r="AK14" s="286">
        <f>IFERROR('Race #8'!$AB13,"")</f>
        <v>0</v>
      </c>
      <c r="AL14" s="290" t="str">
        <f>'Race #9'!O13</f>
        <v/>
      </c>
      <c r="AM14" s="288" t="str">
        <f>IFERROR('Race #9'!$AA13,"")</f>
        <v/>
      </c>
      <c r="AN14" s="286">
        <f>IFERROR('Race #9'!$AB13,"")</f>
        <v>0</v>
      </c>
      <c r="AO14" s="284" t="str">
        <f>'Race #10'!O13</f>
        <v/>
      </c>
      <c r="AP14" s="285" t="str">
        <f>IFERROR('Race #10'!$AA13,"")</f>
        <v/>
      </c>
      <c r="AQ14" s="285">
        <f>IFERROR('Race #10'!$AB13,"")</f>
        <v>0</v>
      </c>
      <c r="AR14" s="284" t="str">
        <f>'Race #11'!O13</f>
        <v/>
      </c>
      <c r="AS14" s="285" t="str">
        <f>IFERROR('Race #11'!$AA13,"")</f>
        <v/>
      </c>
      <c r="AT14" s="285">
        <f>IFERROR('Race #11'!$AB13,"")</f>
        <v>0</v>
      </c>
      <c r="AU14" s="291" t="str">
        <f t="shared" si="5"/>
        <v>Mirabelle</v>
      </c>
      <c r="AV14" s="361">
        <f t="shared" si="6"/>
        <v>1</v>
      </c>
      <c r="AW14" s="360">
        <f>IFERROR(SMALL((S14,V14,Y14,AB14,AE14,AH14,AK14,AN14,AQ14,AT14),1)+SMALL((S14,V14,Y14,AB14,AE14,AH14,AK14,AN14,AQ14,AT14),2),"")</f>
        <v>0</v>
      </c>
      <c r="AX14" s="274">
        <f t="shared" si="9"/>
        <v>1</v>
      </c>
      <c r="AY14" s="275">
        <f t="shared" si="7"/>
        <v>9</v>
      </c>
    </row>
    <row r="15" spans="1:51" ht="30" customHeight="1" thickBot="1" x14ac:dyDescent="0.25">
      <c r="A15" s="294"/>
      <c r="B15" s="257">
        <f t="shared" si="0"/>
        <v>2</v>
      </c>
      <c r="C15" s="258">
        <f t="shared" si="1"/>
        <v>1</v>
      </c>
      <c r="D15" s="259">
        <f t="shared" si="2"/>
        <v>0</v>
      </c>
      <c r="E15" s="257">
        <f t="shared" si="3"/>
        <v>0</v>
      </c>
      <c r="F15" s="258">
        <f>COUNTIF('Race #1'!J14,"Yes")+COUNTIF('Race #2'!J14,"Yes")+COUNTIF('Race #3'!J14,"Yes")+COUNTIF('Race #4'!J14,"Yes")+COUNTIF('Race #5'!J14,"Yes")+COUNTIF('Race #6'!J14,"Yes")+COUNTIF('Race #7'!J14,"Yes")+COUNTIF('Race #8'!J14,"Yes")+COUNTIF('Race #9'!J14,"Yes")+COUNTIF('Race #10'!J14,"Yes")+COUNTIF('Race #11'!J14,"Yes")</f>
        <v>4</v>
      </c>
      <c r="G15" s="258">
        <f t="shared" si="4"/>
        <v>4</v>
      </c>
      <c r="H15" s="207" t="str">
        <f>'Roster and Starting Handicaps'!F16</f>
        <v>231-944-9065</v>
      </c>
      <c r="I15" s="260" t="str">
        <f>'Roster and Starting Handicaps'!C16</f>
        <v>Outrageous</v>
      </c>
      <c r="J15" s="388" t="str">
        <f>'Roster and Starting Handicaps'!D16</f>
        <v>Tanzer 22</v>
      </c>
      <c r="K15" s="389" t="str">
        <f>'Roster and Starting Handicaps'!E16</f>
        <v>Don Webb</v>
      </c>
      <c r="L15" s="262">
        <v>235.6</v>
      </c>
      <c r="M15" s="262">
        <v>241.3</v>
      </c>
      <c r="N15" s="263">
        <f>'Race #1'!O14</f>
        <v>3</v>
      </c>
      <c r="O15" s="264">
        <f>IFERROR('Race #1'!$AA14,"")</f>
        <v>1</v>
      </c>
      <c r="P15" s="265">
        <f>IFERROR('Race #1'!$AB14,"")</f>
        <v>6</v>
      </c>
      <c r="Q15" s="266">
        <f>'Race #2'!O14</f>
        <v>3</v>
      </c>
      <c r="R15" s="267">
        <f>IFERROR('Race #2'!$AA14,"")</f>
        <v>2</v>
      </c>
      <c r="S15" s="268">
        <f>IFERROR('Race #2'!$AB14,"")</f>
        <v>5</v>
      </c>
      <c r="T15" s="266">
        <f>'Race #3'!O14</f>
        <v>7</v>
      </c>
      <c r="U15" s="267">
        <f>IFERROR('Race #3'!AA14,"")</f>
        <v>6</v>
      </c>
      <c r="V15" s="268">
        <f>IFERROR('Race #3'!$AB14,"")</f>
        <v>1</v>
      </c>
      <c r="W15" s="266">
        <f>'Race #4'!O14</f>
        <v>3</v>
      </c>
      <c r="X15" s="267">
        <f>IFERROR('Race #4'!$AA14,"")</f>
        <v>1</v>
      </c>
      <c r="Y15" s="268">
        <f>IFERROR('Race #4'!$AB14,"")</f>
        <v>6</v>
      </c>
      <c r="Z15" s="269" t="str">
        <f>'Race #5'!O14</f>
        <v/>
      </c>
      <c r="AA15" s="270" t="str">
        <f>IFERROR('Race #5'!$AA14,"")</f>
        <v/>
      </c>
      <c r="AB15" s="268">
        <f>IFERROR('Race #5'!$AB14,"")</f>
        <v>0</v>
      </c>
      <c r="AC15" s="266" t="str">
        <f>'Race #6'!O14</f>
        <v/>
      </c>
      <c r="AD15" s="267" t="str">
        <f>IFERROR('Race #6'!$AA14,"")</f>
        <v/>
      </c>
      <c r="AE15" s="268">
        <f>IFERROR('Race #6'!$AB14,"")</f>
        <v>0</v>
      </c>
      <c r="AF15" s="271" t="str">
        <f>'Race #7'!O14</f>
        <v/>
      </c>
      <c r="AG15" s="270" t="str">
        <f>IFERROR('Race #7'!$AA14,"")</f>
        <v/>
      </c>
      <c r="AH15" s="268">
        <f>IFERROR('Race #7'!$AB14,"")</f>
        <v>0</v>
      </c>
      <c r="AI15" s="266" t="str">
        <f>'Race #8'!O14</f>
        <v/>
      </c>
      <c r="AJ15" s="267" t="str">
        <f>IFERROR('Race #8'!$AA14,"")</f>
        <v/>
      </c>
      <c r="AK15" s="268">
        <f>IFERROR('Race #8'!$AB14,"")</f>
        <v>0</v>
      </c>
      <c r="AL15" s="272" t="str">
        <f>'Race #9'!O14</f>
        <v/>
      </c>
      <c r="AM15" s="270" t="str">
        <f>IFERROR('Race #9'!$AA14,"")</f>
        <v/>
      </c>
      <c r="AN15" s="268">
        <f>IFERROR('Race #9'!$AB14,"")</f>
        <v>0</v>
      </c>
      <c r="AO15" s="266" t="str">
        <f>'Race #10'!O14</f>
        <v/>
      </c>
      <c r="AP15" s="267" t="str">
        <f>IFERROR('Race #10'!$AA14,"")</f>
        <v/>
      </c>
      <c r="AQ15" s="267">
        <f>IFERROR('Race #10'!$AB14,"")</f>
        <v>0</v>
      </c>
      <c r="AR15" s="266" t="str">
        <f>'Race #11'!O14</f>
        <v/>
      </c>
      <c r="AS15" s="267" t="str">
        <f>IFERROR('Race #11'!$AA14,"")</f>
        <v/>
      </c>
      <c r="AT15" s="267">
        <f>IFERROR('Race #11'!$AB14,"")</f>
        <v>0</v>
      </c>
      <c r="AU15" s="273" t="str">
        <f t="shared" si="5"/>
        <v>Outrageous</v>
      </c>
      <c r="AV15" s="361">
        <f t="shared" si="6"/>
        <v>18</v>
      </c>
      <c r="AW15" s="360">
        <f>IFERROR(SMALL((S15,V15,Y15,AB15,AE15,AH15,AK15,AN15,AQ15,AT15),1)+SMALL((S15,V15,Y15,AB15,AE15,AH15,AK15,AN15,AQ15,AT15),2),"")</f>
        <v>0</v>
      </c>
      <c r="AX15" s="274">
        <f t="shared" si="9"/>
        <v>18</v>
      </c>
      <c r="AY15" s="275">
        <f t="shared" si="7"/>
        <v>1</v>
      </c>
    </row>
    <row r="16" spans="1:51" ht="30" customHeight="1" thickBot="1" x14ac:dyDescent="0.25">
      <c r="A16" s="203"/>
      <c r="B16" s="276">
        <f t="shared" si="0"/>
        <v>0</v>
      </c>
      <c r="C16" s="277">
        <f t="shared" si="1"/>
        <v>0</v>
      </c>
      <c r="D16" s="278">
        <f t="shared" si="2"/>
        <v>0</v>
      </c>
      <c r="E16" s="276">
        <f t="shared" si="3"/>
        <v>1</v>
      </c>
      <c r="F16" s="277">
        <f>COUNTIF('Race #1'!J15,"Yes")+COUNTIF('Race #2'!J15,"Yes")+COUNTIF('Race #3'!J15,"Yes")+COUNTIF('Race #4'!J15,"Yes")+COUNTIF('Race #5'!J15,"Yes")+COUNTIF('Race #6'!J15,"Yes")+COUNTIF('Race #7'!J15,"Yes")+COUNTIF('Race #8'!J15,"Yes")+COUNTIF('Race #9'!J15,"Yes")+COUNTIF('Race #10'!J15,"Yes")+COUNTIF('Race #11'!J15,"Yes")</f>
        <v>1</v>
      </c>
      <c r="G16" s="277">
        <f t="shared" si="4"/>
        <v>1</v>
      </c>
      <c r="H16" s="208" t="str">
        <f>'Roster and Starting Handicaps'!F17</f>
        <v>616-450-3674</v>
      </c>
      <c r="I16" s="279" t="str">
        <f>'Roster and Starting Handicaps'!C17</f>
        <v>Paradox</v>
      </c>
      <c r="J16" s="390" t="str">
        <f>'Roster and Starting Handicaps'!D17</f>
        <v>J Boats J 92</v>
      </c>
      <c r="K16" s="391" t="str">
        <f>'Roster and Starting Handicaps'!E17</f>
        <v>Glenn VanOtteren/Ted Standiford</v>
      </c>
      <c r="L16" s="280">
        <v>98.7</v>
      </c>
      <c r="M16" s="280">
        <v>112.2</v>
      </c>
      <c r="N16" s="281" t="str">
        <f>'Race #1'!O15</f>
        <v/>
      </c>
      <c r="O16" s="282" t="str">
        <f>IFERROR('Race #1'!$AA15,"")</f>
        <v/>
      </c>
      <c r="P16" s="283">
        <f>IFERROR('Race #1'!$AB15,"")</f>
        <v>0</v>
      </c>
      <c r="Q16" s="284" t="str">
        <f>'Race #2'!O15</f>
        <v/>
      </c>
      <c r="R16" s="285" t="str">
        <f>IFERROR('Race #2'!$AA15,"")</f>
        <v/>
      </c>
      <c r="S16" s="286">
        <f>IFERROR('Race #2'!$AB15,"")</f>
        <v>0</v>
      </c>
      <c r="T16" s="284">
        <f>'Race #3'!O15</f>
        <v>1</v>
      </c>
      <c r="U16" s="285">
        <f>IFERROR('Race #3'!AA15,"")</f>
        <v>7</v>
      </c>
      <c r="V16" s="286">
        <f>IFERROR('Race #3'!$AB15,"")</f>
        <v>1</v>
      </c>
      <c r="W16" s="284" t="str">
        <f>'Race #4'!O15</f>
        <v/>
      </c>
      <c r="X16" s="285" t="str">
        <f>IFERROR('Race #4'!$AA15,"")</f>
        <v/>
      </c>
      <c r="Y16" s="286">
        <f>IFERROR('Race #4'!$AB15,"")</f>
        <v>0</v>
      </c>
      <c r="Z16" s="287" t="str">
        <f>'Race #5'!O15</f>
        <v/>
      </c>
      <c r="AA16" s="288" t="str">
        <f>IFERROR('Race #5'!$AA15,"")</f>
        <v/>
      </c>
      <c r="AB16" s="286">
        <f>IFERROR('Race #5'!$AB15,"")</f>
        <v>0</v>
      </c>
      <c r="AC16" s="284" t="str">
        <f>'Race #6'!O15</f>
        <v/>
      </c>
      <c r="AD16" s="285" t="str">
        <f>IFERROR('Race #6'!$AA15,"")</f>
        <v/>
      </c>
      <c r="AE16" s="286">
        <f>IFERROR('Race #6'!$AB15,"")</f>
        <v>0</v>
      </c>
      <c r="AF16" s="289" t="str">
        <f>'Race #7'!O15</f>
        <v/>
      </c>
      <c r="AG16" s="288" t="str">
        <f>IFERROR('Race #7'!$AA15,"")</f>
        <v/>
      </c>
      <c r="AH16" s="286">
        <f>IFERROR('Race #7'!$AB15,"")</f>
        <v>0</v>
      </c>
      <c r="AI16" s="284" t="str">
        <f>'Race #8'!O15</f>
        <v/>
      </c>
      <c r="AJ16" s="285" t="str">
        <f>IFERROR('Race #8'!$AA15,"")</f>
        <v/>
      </c>
      <c r="AK16" s="286">
        <f>IFERROR('Race #8'!$AB15,"")</f>
        <v>0</v>
      </c>
      <c r="AL16" s="290" t="str">
        <f>'Race #9'!O15</f>
        <v/>
      </c>
      <c r="AM16" s="288" t="str">
        <f>IFERROR('Race #9'!$AA15,"")</f>
        <v/>
      </c>
      <c r="AN16" s="286">
        <f>IFERROR('Race #9'!$AB15,"")</f>
        <v>0</v>
      </c>
      <c r="AO16" s="284" t="str">
        <f>'Race #10'!O15</f>
        <v/>
      </c>
      <c r="AP16" s="285" t="str">
        <f>IFERROR('Race #10'!$AA15,"")</f>
        <v/>
      </c>
      <c r="AQ16" s="285">
        <f>IFERROR('Race #10'!$AB15,"")</f>
        <v>0</v>
      </c>
      <c r="AR16" s="284" t="str">
        <f>'Race #11'!O15</f>
        <v/>
      </c>
      <c r="AS16" s="285" t="str">
        <f>IFERROR('Race #11'!$AA15,"")</f>
        <v/>
      </c>
      <c r="AT16" s="285">
        <f>IFERROR('Race #11'!$AB15,"")</f>
        <v>0</v>
      </c>
      <c r="AU16" s="291" t="str">
        <f t="shared" si="5"/>
        <v>Paradox</v>
      </c>
      <c r="AV16" s="361">
        <f t="shared" si="6"/>
        <v>1</v>
      </c>
      <c r="AW16" s="360">
        <f>IFERROR(SMALL((S16,V16,Y16,AB16,AE16,AH16,AK16,AN16,AQ16,AT16),1)+SMALL((S16,V16,Y16,AB16,AE16,AH16,AK16,AN16,AQ16,AT16),2),"")</f>
        <v>0</v>
      </c>
      <c r="AX16" s="274">
        <f t="shared" si="9"/>
        <v>1</v>
      </c>
      <c r="AY16" s="275">
        <f t="shared" si="7"/>
        <v>9</v>
      </c>
    </row>
    <row r="17" spans="1:51" ht="30" customHeight="1" thickBot="1" x14ac:dyDescent="0.25">
      <c r="A17" s="203"/>
      <c r="B17" s="257">
        <f t="shared" si="0"/>
        <v>0</v>
      </c>
      <c r="C17" s="258">
        <f t="shared" si="1"/>
        <v>0</v>
      </c>
      <c r="D17" s="259">
        <f t="shared" si="2"/>
        <v>0</v>
      </c>
      <c r="E17" s="257">
        <f t="shared" si="3"/>
        <v>0</v>
      </c>
      <c r="F17" s="258">
        <f>COUNTIF('Race #1'!J16,"Yes")+COUNTIF('Race #2'!J16,"Yes")+COUNTIF('Race #3'!J16,"Yes")+COUNTIF('Race #4'!J16,"Yes")+COUNTIF('Race #5'!J16,"Yes")+COUNTIF('Race #6'!J16,"Yes")+COUNTIF('Race #7'!J16,"Yes")+COUNTIF('Race #8'!J16,"Yes")+COUNTIF('Race #9'!J16,"Yes")+COUNTIF('Race #10'!J16,"Yes")+COUNTIF('Race #11'!J16,"Yes")</f>
        <v>0</v>
      </c>
      <c r="G17" s="258">
        <f t="shared" si="4"/>
        <v>0</v>
      </c>
      <c r="H17" s="207" t="str">
        <f>'Roster and Starting Handicaps'!F18</f>
        <v>616-881-6414</v>
      </c>
      <c r="I17" s="295" t="str">
        <f>'Roster and Starting Handicaps'!C18</f>
        <v>Pegasus</v>
      </c>
      <c r="J17" s="392" t="str">
        <f>'Roster and Starting Handicaps'!D18</f>
        <v>Catalina 320</v>
      </c>
      <c r="K17" s="393" t="str">
        <f>'Roster and Starting Handicaps'!E18</f>
        <v>Bill Allen</v>
      </c>
      <c r="L17" s="296">
        <v>157.5</v>
      </c>
      <c r="M17" s="297">
        <v>163.5</v>
      </c>
      <c r="N17" s="263" t="str">
        <f>'Race #1'!O16</f>
        <v/>
      </c>
      <c r="O17" s="264" t="str">
        <f>IFERROR('Race #1'!$AA16,"")</f>
        <v/>
      </c>
      <c r="P17" s="265">
        <f>IFERROR('Race #1'!$AB16,"")</f>
        <v>0</v>
      </c>
      <c r="Q17" s="266" t="str">
        <f>'Race #2'!O16</f>
        <v/>
      </c>
      <c r="R17" s="267" t="str">
        <f>IFERROR('Race #2'!$AA16,"")</f>
        <v/>
      </c>
      <c r="S17" s="268">
        <f>IFERROR('Race #2'!$AB16,"")</f>
        <v>0</v>
      </c>
      <c r="T17" s="266" t="str">
        <f>'Race #3'!O16</f>
        <v/>
      </c>
      <c r="U17" s="267" t="str">
        <f>IFERROR('Race #3'!AA16,"")</f>
        <v/>
      </c>
      <c r="V17" s="268">
        <f>IFERROR('Race #3'!$AB16,"")</f>
        <v>0</v>
      </c>
      <c r="W17" s="266" t="str">
        <f>'Race #4'!O16</f>
        <v/>
      </c>
      <c r="X17" s="267" t="str">
        <f>IFERROR('Race #4'!$AA16,"")</f>
        <v/>
      </c>
      <c r="Y17" s="268">
        <f>IFERROR('Race #4'!$AB16,"")</f>
        <v>0</v>
      </c>
      <c r="Z17" s="269" t="str">
        <f>'Race #5'!O16</f>
        <v/>
      </c>
      <c r="AA17" s="270" t="str">
        <f>IFERROR('Race #5'!$AA16,"")</f>
        <v/>
      </c>
      <c r="AB17" s="268">
        <f>IFERROR('Race #5'!$AB16,"")</f>
        <v>0</v>
      </c>
      <c r="AC17" s="266" t="str">
        <f>'Race #6'!O16</f>
        <v/>
      </c>
      <c r="AD17" s="267" t="str">
        <f>IFERROR('Race #6'!$AA16,"")</f>
        <v/>
      </c>
      <c r="AE17" s="268">
        <f>IFERROR('Race #6'!$AB16,"")</f>
        <v>0</v>
      </c>
      <c r="AF17" s="271" t="str">
        <f>'Race #7'!O16</f>
        <v/>
      </c>
      <c r="AG17" s="270" t="str">
        <f>IFERROR('Race #7'!$AA16,"")</f>
        <v/>
      </c>
      <c r="AH17" s="268">
        <f>IFERROR('Race #7'!$AB16,"")</f>
        <v>0</v>
      </c>
      <c r="AI17" s="266" t="str">
        <f>'Race #8'!O16</f>
        <v/>
      </c>
      <c r="AJ17" s="267" t="str">
        <f>IFERROR('Race #8'!$AA16,"")</f>
        <v/>
      </c>
      <c r="AK17" s="268">
        <f>IFERROR('Race #8'!$AB16,"")</f>
        <v>0</v>
      </c>
      <c r="AL17" s="272" t="str">
        <f>'Race #9'!O16</f>
        <v/>
      </c>
      <c r="AM17" s="270" t="str">
        <f>IFERROR('Race #9'!$AA16,"")</f>
        <v/>
      </c>
      <c r="AN17" s="268">
        <f>IFERROR('Race #9'!$AB16,"")</f>
        <v>0</v>
      </c>
      <c r="AO17" s="266" t="str">
        <f>'Race #10'!O16</f>
        <v/>
      </c>
      <c r="AP17" s="267" t="str">
        <f>IFERROR('Race #10'!$AA16,"")</f>
        <v/>
      </c>
      <c r="AQ17" s="267">
        <f>IFERROR('Race #10'!$AB16,"")</f>
        <v>0</v>
      </c>
      <c r="AR17" s="266" t="str">
        <f>'Race #11'!O16</f>
        <v/>
      </c>
      <c r="AS17" s="267" t="str">
        <f>IFERROR('Race #11'!$AA16,"")</f>
        <v/>
      </c>
      <c r="AT17" s="267">
        <f>IFERROR('Race #11'!$AB16,"")</f>
        <v>0</v>
      </c>
      <c r="AU17" s="298" t="str">
        <f t="shared" si="5"/>
        <v>Pegasus</v>
      </c>
      <c r="AV17" s="361">
        <f t="shared" si="6"/>
        <v>0</v>
      </c>
      <c r="AW17" s="360">
        <f>IFERROR(SMALL((S17,V17,Y17,AB17,AE17,AH17,AK17,AN17,AQ17,AT17),1)+SMALL((S17,V17,Y17,AB17,AE17,AH17,AK17,AN17,AQ17,AT17),2),"")</f>
        <v>0</v>
      </c>
      <c r="AX17" s="274">
        <f t="shared" si="9"/>
        <v>0</v>
      </c>
      <c r="AY17" s="275">
        <f t="shared" si="7"/>
        <v>11</v>
      </c>
    </row>
    <row r="18" spans="1:51" ht="30" customHeight="1" thickBot="1" x14ac:dyDescent="0.25">
      <c r="A18" s="203"/>
      <c r="B18" s="299">
        <f t="shared" si="0"/>
        <v>0</v>
      </c>
      <c r="C18" s="300">
        <f t="shared" si="1"/>
        <v>0</v>
      </c>
      <c r="D18" s="301">
        <f t="shared" si="2"/>
        <v>0</v>
      </c>
      <c r="E18" s="299">
        <f t="shared" si="3"/>
        <v>0</v>
      </c>
      <c r="F18" s="300">
        <f>COUNTIF('Race #1'!J17,"Yes")+COUNTIF('Race #2'!J17,"Yes")+COUNTIF('Race #3'!J17,"Yes")+COUNTIF('Race #4'!J17,"Yes")+COUNTIF('Race #5'!J17,"Yes")+COUNTIF('Race #6'!J17,"Yes")+COUNTIF('Race #7'!J17,"Yes")+COUNTIF('Race #8'!J17,"Yes")+COUNTIF('Race #9'!J17,"Yes")+COUNTIF('Race #10'!J17,"Yes")+COUNTIF('Race #11'!J17,"Yes")</f>
        <v>0</v>
      </c>
      <c r="G18" s="300">
        <f t="shared" si="4"/>
        <v>0</v>
      </c>
      <c r="H18" s="209" t="str">
        <f>'Roster and Starting Handicaps'!F19</f>
        <v>231-715-0118</v>
      </c>
      <c r="I18" s="302" t="str">
        <f>'Roster and Starting Handicaps'!C19</f>
        <v>Superfly</v>
      </c>
      <c r="J18" s="394" t="str">
        <f>'Roster and Starting Handicaps'!D19</f>
        <v>Corsair 880</v>
      </c>
      <c r="K18" s="395" t="str">
        <f>'Roster and Starting Handicaps'!E19</f>
        <v>Will Harper</v>
      </c>
      <c r="L18" s="296">
        <v>46</v>
      </c>
      <c r="M18" s="297">
        <v>57.8</v>
      </c>
      <c r="N18" s="303" t="str">
        <f>'Race #1'!O17</f>
        <v/>
      </c>
      <c r="O18" s="304" t="str">
        <f>IFERROR('Race #1'!$AA17,"")</f>
        <v/>
      </c>
      <c r="P18" s="305">
        <f>IFERROR('Race #1'!$AB17,"")</f>
        <v>0</v>
      </c>
      <c r="Q18" s="284" t="str">
        <f>'Race #2'!O17</f>
        <v/>
      </c>
      <c r="R18" s="285" t="str">
        <f>IFERROR('Race #2'!$AA17,"")</f>
        <v/>
      </c>
      <c r="S18" s="286">
        <f>IFERROR('Race #2'!$AB17,"")</f>
        <v>0</v>
      </c>
      <c r="T18" s="284" t="str">
        <f>'Race #3'!O17</f>
        <v/>
      </c>
      <c r="U18" s="285" t="str">
        <f>IFERROR('Race #3'!AA17,"")</f>
        <v/>
      </c>
      <c r="V18" s="286">
        <f>IFERROR('Race #3'!$AB17,"")</f>
        <v>0</v>
      </c>
      <c r="W18" s="284" t="str">
        <f>'Race #4'!O17</f>
        <v/>
      </c>
      <c r="X18" s="285" t="str">
        <f>IFERROR('Race #4'!$AA17,"")</f>
        <v/>
      </c>
      <c r="Y18" s="286">
        <f>IFERROR('Race #4'!$AB17,"")</f>
        <v>0</v>
      </c>
      <c r="Z18" s="287" t="str">
        <f>'Race #5'!O17</f>
        <v/>
      </c>
      <c r="AA18" s="288" t="str">
        <f>IFERROR('Race #5'!$AA17,"")</f>
        <v/>
      </c>
      <c r="AB18" s="286">
        <f>IFERROR('Race #5'!$AB17,"")</f>
        <v>0</v>
      </c>
      <c r="AC18" s="284" t="str">
        <f>'Race #6'!O17</f>
        <v/>
      </c>
      <c r="AD18" s="285" t="str">
        <f>IFERROR('Race #6'!$AA17,"")</f>
        <v/>
      </c>
      <c r="AE18" s="286">
        <f>IFERROR('Race #6'!$AB17,"")</f>
        <v>0</v>
      </c>
      <c r="AF18" s="289" t="str">
        <f>'Race #7'!O17</f>
        <v/>
      </c>
      <c r="AG18" s="306" t="str">
        <f>IFERROR('Race #7'!$AA17,"")</f>
        <v/>
      </c>
      <c r="AH18" s="286">
        <f>IFERROR('Race #7'!$AB17,"")</f>
        <v>0</v>
      </c>
      <c r="AI18" s="284" t="str">
        <f>'Race #8'!O17</f>
        <v/>
      </c>
      <c r="AJ18" s="285" t="str">
        <f>IFERROR('Race #8'!$AA17,"")</f>
        <v/>
      </c>
      <c r="AK18" s="286" t="str">
        <f>IFERROR('Race #8'!$AB17,"")</f>
        <v/>
      </c>
      <c r="AL18" s="290" t="str">
        <f>'Race #9'!O17</f>
        <v/>
      </c>
      <c r="AM18" s="288" t="str">
        <f>IFERROR('Race #9'!$AA17,"")</f>
        <v/>
      </c>
      <c r="AN18" s="286" t="str">
        <f>IFERROR('Race #9'!$AB17,"")</f>
        <v/>
      </c>
      <c r="AO18" s="284" t="str">
        <f>'Race #10'!O17</f>
        <v/>
      </c>
      <c r="AP18" s="285" t="str">
        <f>IFERROR('Race #10'!$AA17,"")</f>
        <v/>
      </c>
      <c r="AQ18" s="285" t="str">
        <f>IFERROR('Race #10'!$AB17,"")</f>
        <v/>
      </c>
      <c r="AR18" s="284" t="str">
        <f>'Race #11'!O17</f>
        <v/>
      </c>
      <c r="AS18" s="285" t="str">
        <f>IFERROR('Race #11'!$AA17,"")</f>
        <v/>
      </c>
      <c r="AT18" s="285" t="str">
        <f>IFERROR('Race #11'!$AB17,"")</f>
        <v/>
      </c>
      <c r="AU18" s="307" t="str">
        <f t="shared" si="5"/>
        <v>Superfly</v>
      </c>
      <c r="AV18" s="361">
        <f t="shared" si="6"/>
        <v>0</v>
      </c>
      <c r="AW18" s="360">
        <f>IFERROR(SMALL((S18,V18,Y18,AB18,AE18,AH18,AK18,AN18,AQ18,AT18),1)+SMALL((S18,V18,Y18,AB18,AE18,AH18,AK18,AN18,AQ18,AT18),2),"")</f>
        <v>0</v>
      </c>
      <c r="AX18" s="274">
        <f>AV18-AW18</f>
        <v>0</v>
      </c>
      <c r="AY18" s="275">
        <f t="shared" si="7"/>
        <v>11</v>
      </c>
    </row>
    <row r="19" spans="1:51" ht="30" customHeight="1" thickBot="1" x14ac:dyDescent="0.25">
      <c r="A19" s="203"/>
      <c r="B19" s="308">
        <f t="shared" si="0"/>
        <v>0</v>
      </c>
      <c r="C19" s="309">
        <f t="shared" si="1"/>
        <v>0</v>
      </c>
      <c r="D19" s="310">
        <f t="shared" si="2"/>
        <v>0</v>
      </c>
      <c r="E19" s="308">
        <f t="shared" si="3"/>
        <v>0</v>
      </c>
      <c r="F19" s="309">
        <f>COUNTIF('Race #1'!J18,"Yes")+COUNTIF('Race #2'!J18,"Yes")+COUNTIF('Race #3'!J18,"Yes")+COUNTIF('Race #4'!J18,"Yes")+COUNTIF('Race #5'!J18,"Yes")+COUNTIF('Race #6'!J18,"Yes")+COUNTIF('Race #7'!J18,"Yes")+COUNTIF('Race #8'!J18,"Yes")+COUNTIF('Race #9'!J18,"Yes")+COUNTIF('Race #10'!J18,"Yes")+COUNTIF('Race #11'!J18,"Yes")</f>
        <v>0</v>
      </c>
      <c r="G19" s="309">
        <f t="shared" si="4"/>
        <v>0</v>
      </c>
      <c r="H19" s="210" t="str">
        <f>'Roster and Starting Handicaps'!F20</f>
        <v>734-777-5016</v>
      </c>
      <c r="I19" s="311" t="str">
        <f>'Roster and Starting Handicaps'!C20</f>
        <v>Triton</v>
      </c>
      <c r="J19" s="396" t="str">
        <f>'Roster and Starting Handicaps'!D20</f>
        <v>Hans Christian 43</v>
      </c>
      <c r="K19" s="397" t="str">
        <f>'Roster and Starting Handicaps'!E20</f>
        <v>Alex Parks</v>
      </c>
      <c r="L19" s="312">
        <v>194.4</v>
      </c>
      <c r="M19" s="312">
        <v>207.2</v>
      </c>
      <c r="N19" s="313" t="str">
        <f>'Race #1'!O18</f>
        <v/>
      </c>
      <c r="O19" s="314" t="str">
        <f>IFERROR('Race #1'!$AA18,"")</f>
        <v/>
      </c>
      <c r="P19" s="315">
        <f>IFERROR('Race #1'!$AB18,"")</f>
        <v>0</v>
      </c>
      <c r="Q19" s="313" t="str">
        <f>'Race #2'!O18</f>
        <v/>
      </c>
      <c r="R19" s="316" t="str">
        <f>IFERROR('Race #2'!$AA18,"")</f>
        <v/>
      </c>
      <c r="S19" s="317">
        <f>IFERROR('Race #2'!$AB18,"")</f>
        <v>0</v>
      </c>
      <c r="T19" s="313" t="str">
        <f>'Race #3'!O18</f>
        <v/>
      </c>
      <c r="U19" s="316" t="str">
        <f>IFERROR('Race #3'!AA18,"")</f>
        <v/>
      </c>
      <c r="V19" s="317">
        <f>IFERROR('Race #3'!$AB18,"")</f>
        <v>0</v>
      </c>
      <c r="W19" s="313" t="str">
        <f>'Race #4'!O18</f>
        <v/>
      </c>
      <c r="X19" s="316" t="str">
        <f>IFERROR('Race #4'!$AA18,"")</f>
        <v/>
      </c>
      <c r="Y19" s="317">
        <f>IFERROR('Race #4'!$AB18,"")</f>
        <v>0</v>
      </c>
      <c r="Z19" s="318" t="str">
        <f>'Race #5'!O18</f>
        <v/>
      </c>
      <c r="AA19" s="319" t="str">
        <f>IFERROR('Race #5'!$AA18,"")</f>
        <v/>
      </c>
      <c r="AB19" s="317">
        <f>IFERROR('Race #5'!$AB18,"")</f>
        <v>0</v>
      </c>
      <c r="AC19" s="313" t="str">
        <f>'Race #6'!O18</f>
        <v/>
      </c>
      <c r="AD19" s="316" t="str">
        <f>IFERROR('Race #6'!$AA18,"")</f>
        <v/>
      </c>
      <c r="AE19" s="317">
        <f>IFERROR('Race #6'!$AB18,"")</f>
        <v>0</v>
      </c>
      <c r="AF19" s="320" t="str">
        <f>'Race #7'!O18</f>
        <v/>
      </c>
      <c r="AG19" s="319" t="str">
        <f>IFERROR('Race #7'!$AA18,"")</f>
        <v/>
      </c>
      <c r="AH19" s="317">
        <f>IFERROR('Race #7'!$AB18,"")</f>
        <v>0</v>
      </c>
      <c r="AI19" s="313" t="str">
        <f>'Race #8'!O18</f>
        <v/>
      </c>
      <c r="AJ19" s="316" t="str">
        <f>IFERROR('Race #8'!$AA18,"")</f>
        <v/>
      </c>
      <c r="AK19" s="317">
        <f>IFERROR('Race #8'!$AB18,"")</f>
        <v>0</v>
      </c>
      <c r="AL19" s="321" t="str">
        <f>'Race #9'!O18</f>
        <v/>
      </c>
      <c r="AM19" s="319" t="str">
        <f>IFERROR('Race #9'!$AA18,"")</f>
        <v/>
      </c>
      <c r="AN19" s="317">
        <f>IFERROR('Race #9'!$AB18,"")</f>
        <v>0</v>
      </c>
      <c r="AO19" s="313" t="str">
        <f>'Race #10'!O18</f>
        <v/>
      </c>
      <c r="AP19" s="316" t="str">
        <f>IFERROR('Race #10'!$AA18,"")</f>
        <v/>
      </c>
      <c r="AQ19" s="316">
        <f>IFERROR('Race #10'!$AB18,"")</f>
        <v>0</v>
      </c>
      <c r="AR19" s="313" t="str">
        <f>'Race #11'!O18</f>
        <v/>
      </c>
      <c r="AS19" s="316" t="str">
        <f>IFERROR('Race #11'!$AA18,"")</f>
        <v/>
      </c>
      <c r="AT19" s="316">
        <f>IFERROR('Race #11'!$AB18,"")</f>
        <v>0</v>
      </c>
      <c r="AU19" s="322" t="str">
        <f t="shared" si="5"/>
        <v>Triton</v>
      </c>
      <c r="AV19" s="362">
        <f t="shared" si="6"/>
        <v>0</v>
      </c>
      <c r="AW19" s="360">
        <f>IFERROR(SMALL((S19,V19,Y19,AB19,AE19,AH19,AK19,AN19,AQ19,AT19),1)+SMALL((S19,V19,Y19,AB19,AE19,AH19,AK19,AN19,AQ19,AT19),2),"")</f>
        <v>0</v>
      </c>
      <c r="AX19" s="323">
        <f t="shared" si="9"/>
        <v>0</v>
      </c>
      <c r="AY19" s="324">
        <f t="shared" si="7"/>
        <v>11</v>
      </c>
    </row>
    <row r="20" spans="1:51" ht="30" customHeight="1" x14ac:dyDescent="0.2">
      <c r="A20" s="211"/>
      <c r="B20" s="211"/>
      <c r="C20" s="211"/>
      <c r="D20" s="211"/>
      <c r="E20" s="211"/>
      <c r="F20" s="211"/>
      <c r="G20" s="211"/>
      <c r="H20" s="211"/>
      <c r="I20" s="216"/>
      <c r="L20" s="325"/>
      <c r="M20" s="325"/>
      <c r="N20" s="326"/>
      <c r="O20" s="326"/>
      <c r="P20" s="327"/>
      <c r="Q20" s="326"/>
      <c r="R20" s="326"/>
      <c r="S20" s="327"/>
      <c r="T20" s="326"/>
      <c r="U20" s="326"/>
      <c r="V20" s="328"/>
      <c r="W20" s="326"/>
      <c r="X20" s="326"/>
      <c r="Y20" s="328"/>
      <c r="Z20" s="327"/>
      <c r="AA20" s="329"/>
      <c r="AB20" s="327"/>
      <c r="AC20" s="326"/>
      <c r="AD20" s="326"/>
      <c r="AE20" s="327"/>
      <c r="AF20" s="330"/>
      <c r="AG20" s="331"/>
      <c r="AH20" s="327"/>
      <c r="AI20" s="332"/>
      <c r="AJ20" s="332"/>
      <c r="AK20" s="327"/>
      <c r="AL20" s="329"/>
      <c r="AM20" s="329"/>
      <c r="AN20" s="327"/>
      <c r="AO20" s="326"/>
      <c r="AP20" s="326"/>
      <c r="AQ20" s="326"/>
      <c r="AR20" s="326"/>
      <c r="AS20" s="326"/>
      <c r="AT20" s="333"/>
      <c r="AU20" s="216"/>
      <c r="AV20" s="211"/>
      <c r="AW20" s="211"/>
      <c r="AX20" s="211"/>
      <c r="AY20" s="211"/>
    </row>
    <row r="21" spans="1:51" ht="20" customHeight="1" x14ac:dyDescent="0.2">
      <c r="B21" s="211">
        <f t="shared" ref="B21:G21" si="10">SUM(B5:B19)</f>
        <v>4</v>
      </c>
      <c r="C21" s="211">
        <f t="shared" si="10"/>
        <v>4</v>
      </c>
      <c r="D21" s="211">
        <f t="shared" si="10"/>
        <v>4</v>
      </c>
      <c r="E21" s="211">
        <f t="shared" si="10"/>
        <v>4</v>
      </c>
      <c r="F21" s="211">
        <f t="shared" si="10"/>
        <v>22</v>
      </c>
      <c r="G21" s="211">
        <f t="shared" si="10"/>
        <v>22</v>
      </c>
      <c r="M21" s="334"/>
      <c r="O21" s="335" t="s">
        <v>109</v>
      </c>
      <c r="P21" s="334">
        <f>'Race #1'!E27</f>
        <v>4</v>
      </c>
      <c r="R21" s="335" t="s">
        <v>109</v>
      </c>
      <c r="S21" s="334">
        <f>'Race #2'!E27</f>
        <v>6</v>
      </c>
      <c r="U21" s="335" t="s">
        <v>109</v>
      </c>
      <c r="V21" s="336">
        <f>'Race #3'!E27</f>
        <v>8</v>
      </c>
      <c r="X21" s="335" t="s">
        <v>109</v>
      </c>
      <c r="Y21" s="336">
        <f>'Race #4'!E27</f>
        <v>4</v>
      </c>
      <c r="AA21" s="335" t="s">
        <v>109</v>
      </c>
      <c r="AB21" s="334">
        <f>'Race #5'!E27</f>
        <v>0</v>
      </c>
      <c r="AD21" s="335" t="s">
        <v>109</v>
      </c>
      <c r="AE21" s="334">
        <f>'Race #6'!E27</f>
        <v>0</v>
      </c>
      <c r="AG21" s="335" t="s">
        <v>109</v>
      </c>
      <c r="AH21" s="334">
        <f>'Race #7'!E27</f>
        <v>0</v>
      </c>
      <c r="AJ21" s="335" t="s">
        <v>109</v>
      </c>
      <c r="AK21" s="334">
        <f>'Race #8'!E27</f>
        <v>0</v>
      </c>
      <c r="AM21" s="335" t="s">
        <v>109</v>
      </c>
      <c r="AN21" s="334">
        <f>'Race #9'!E27</f>
        <v>0</v>
      </c>
      <c r="AP21" s="335" t="s">
        <v>109</v>
      </c>
      <c r="AQ21" s="334">
        <f>'Race #10'!E27</f>
        <v>0</v>
      </c>
      <c r="AS21" s="335" t="s">
        <v>109</v>
      </c>
      <c r="AT21" s="334">
        <f>'Race #11'!E27</f>
        <v>0</v>
      </c>
    </row>
    <row r="22" spans="1:51" ht="20" customHeight="1" x14ac:dyDescent="0.2">
      <c r="M22" s="334"/>
      <c r="O22" s="335" t="s">
        <v>110</v>
      </c>
      <c r="P22" s="337">
        <f>'Race #1'!E21</f>
        <v>3.7610000000000001</v>
      </c>
      <c r="R22" s="335" t="s">
        <v>110</v>
      </c>
      <c r="S22" s="337">
        <f>'Race #2'!E21</f>
        <v>4.9950000000000001</v>
      </c>
      <c r="U22" s="335" t="s">
        <v>110</v>
      </c>
      <c r="V22" s="338">
        <f>'Race #3'!E21</f>
        <v>2.0419999999999998</v>
      </c>
      <c r="X22" s="335" t="s">
        <v>110</v>
      </c>
      <c r="Y22" s="338">
        <f>'Race #4'!E21</f>
        <v>4.3</v>
      </c>
      <c r="AA22" s="335" t="s">
        <v>110</v>
      </c>
      <c r="AB22" s="337">
        <f>'Race #5'!E21</f>
        <v>5</v>
      </c>
      <c r="AD22" s="335" t="s">
        <v>110</v>
      </c>
      <c r="AE22" s="337">
        <f>'Race #6'!E21</f>
        <v>4.5</v>
      </c>
      <c r="AG22" s="335" t="s">
        <v>110</v>
      </c>
      <c r="AH22" s="337">
        <f>'Race #7'!E21</f>
        <v>4.9950000000000001</v>
      </c>
      <c r="AJ22" s="335" t="s">
        <v>110</v>
      </c>
      <c r="AK22" s="337">
        <f>'Race #8'!E21</f>
        <v>4.9950000000000001</v>
      </c>
      <c r="AM22" s="335" t="s">
        <v>110</v>
      </c>
      <c r="AN22" s="337">
        <f>'Race #9'!E21</f>
        <v>4.9950000000000001</v>
      </c>
      <c r="AP22" s="335" t="s">
        <v>110</v>
      </c>
      <c r="AQ22" s="337">
        <f>'Race #10'!E21</f>
        <v>4.9945001138726948</v>
      </c>
      <c r="AS22" s="335" t="s">
        <v>110</v>
      </c>
      <c r="AT22" s="337">
        <f>'Race #11'!E21</f>
        <v>4.9950000000000001</v>
      </c>
    </row>
    <row r="23" spans="1:51" ht="20" customHeight="1" x14ac:dyDescent="0.2">
      <c r="M23" s="334"/>
      <c r="O23" s="335" t="s">
        <v>111</v>
      </c>
      <c r="P23" s="334" t="str">
        <f>'Race #1'!E22</f>
        <v>No</v>
      </c>
      <c r="R23" s="335" t="s">
        <v>111</v>
      </c>
      <c r="S23" s="334" t="str">
        <f>'Race #2'!E22</f>
        <v>No</v>
      </c>
      <c r="U23" s="335" t="s">
        <v>111</v>
      </c>
      <c r="V23" s="335" t="str">
        <f>'Race #3'!E22</f>
        <v>No</v>
      </c>
      <c r="X23" s="335" t="s">
        <v>111</v>
      </c>
      <c r="Y23" s="335" t="str">
        <f>'Race #4'!E22</f>
        <v>No</v>
      </c>
      <c r="AA23" s="335" t="s">
        <v>111</v>
      </c>
      <c r="AB23" s="334" t="str">
        <f>'Race #5'!E22</f>
        <v>No</v>
      </c>
      <c r="AD23" s="335" t="s">
        <v>111</v>
      </c>
      <c r="AE23" s="334" t="str">
        <f>'Race #6'!E22</f>
        <v>No</v>
      </c>
      <c r="AG23" s="335" t="s">
        <v>111</v>
      </c>
      <c r="AH23" s="334" t="str">
        <f>'Race #7'!E22</f>
        <v>No</v>
      </c>
      <c r="AJ23" s="335" t="s">
        <v>111</v>
      </c>
      <c r="AK23" s="334" t="str">
        <f>'Race #8'!E22</f>
        <v>No</v>
      </c>
      <c r="AM23" s="335" t="s">
        <v>111</v>
      </c>
      <c r="AN23" s="334" t="str">
        <f>'Race #9'!E22</f>
        <v>No</v>
      </c>
      <c r="AP23" s="335" t="s">
        <v>111</v>
      </c>
      <c r="AQ23" s="334" t="str">
        <f>'Race #10'!E22</f>
        <v>No</v>
      </c>
      <c r="AS23" s="335" t="s">
        <v>111</v>
      </c>
      <c r="AT23" s="334" t="str">
        <f>'Race #11'!E22</f>
        <v>No</v>
      </c>
    </row>
    <row r="25" spans="1:51" x14ac:dyDescent="0.2">
      <c r="H25" s="211"/>
    </row>
    <row r="26" spans="1:51" x14ac:dyDescent="0.2">
      <c r="H26" s="211"/>
    </row>
    <row r="27" spans="1:51" x14ac:dyDescent="0.2">
      <c r="H27" s="211"/>
      <c r="AV27" s="204"/>
      <c r="AW27" s="204"/>
      <c r="AX27" s="204"/>
      <c r="AY27" s="204"/>
    </row>
    <row r="28" spans="1:51" x14ac:dyDescent="0.2">
      <c r="P28" s="339"/>
      <c r="AV28" s="204"/>
      <c r="AW28" s="204"/>
      <c r="AX28" s="204"/>
      <c r="AY28" s="204"/>
    </row>
    <row r="29" spans="1:51" x14ac:dyDescent="0.2">
      <c r="AV29" s="204"/>
      <c r="AW29" s="204"/>
      <c r="AX29" s="203"/>
      <c r="AY29" s="204"/>
    </row>
    <row r="30" spans="1:51" x14ac:dyDescent="0.2">
      <c r="H30" s="211"/>
      <c r="N30" s="340"/>
      <c r="AV30" s="204"/>
      <c r="AW30" s="204"/>
      <c r="AX30" s="204"/>
      <c r="AY30" s="204"/>
    </row>
    <row r="31" spans="1:51" x14ac:dyDescent="0.2">
      <c r="N31" s="341"/>
      <c r="AV31" s="204"/>
      <c r="AW31" s="204"/>
      <c r="AX31" s="204"/>
      <c r="AY31" s="204"/>
    </row>
    <row r="32" spans="1:51" x14ac:dyDescent="0.2">
      <c r="K32" s="216"/>
      <c r="N32" s="341"/>
      <c r="AV32" s="204"/>
      <c r="AW32" s="204"/>
      <c r="AX32" s="204"/>
      <c r="AY32" s="204"/>
    </row>
    <row r="33" spans="14:51" x14ac:dyDescent="0.2">
      <c r="N33" s="341"/>
      <c r="AV33" s="204"/>
      <c r="AW33" s="204"/>
      <c r="AX33" s="204"/>
      <c r="AY33" s="204"/>
    </row>
    <row r="34" spans="14:51" x14ac:dyDescent="0.2">
      <c r="N34" s="340"/>
      <c r="AV34" s="204"/>
      <c r="AW34" s="204"/>
      <c r="AX34" s="204"/>
      <c r="AY34" s="204"/>
    </row>
    <row r="35" spans="14:51" x14ac:dyDescent="0.2">
      <c r="N35" s="341"/>
      <c r="AV35" s="204"/>
      <c r="AW35" s="204"/>
      <c r="AX35" s="204"/>
      <c r="AY35" s="204"/>
    </row>
    <row r="36" spans="14:51" x14ac:dyDescent="0.2">
      <c r="N36" s="341"/>
      <c r="AV36" s="204"/>
      <c r="AW36" s="204"/>
      <c r="AX36" s="204"/>
      <c r="AY36" s="204"/>
    </row>
    <row r="37" spans="14:51" x14ac:dyDescent="0.2">
      <c r="N37" s="340"/>
      <c r="AV37" s="204"/>
      <c r="AW37" s="204"/>
      <c r="AX37" s="204"/>
      <c r="AY37" s="204"/>
    </row>
    <row r="38" spans="14:51" x14ac:dyDescent="0.2">
      <c r="N38" s="342"/>
      <c r="AV38" s="204"/>
      <c r="AW38" s="204"/>
      <c r="AX38" s="204"/>
      <c r="AY38" s="204"/>
    </row>
    <row r="39" spans="14:51" x14ac:dyDescent="0.2">
      <c r="N39" s="342"/>
      <c r="AV39" s="204"/>
      <c r="AW39" s="204"/>
      <c r="AX39" s="204"/>
      <c r="AY39" s="204"/>
    </row>
    <row r="40" spans="14:51" x14ac:dyDescent="0.2">
      <c r="N40" s="340"/>
      <c r="AV40" s="204"/>
      <c r="AW40" s="204"/>
      <c r="AX40" s="204"/>
      <c r="AY40" s="204"/>
    </row>
    <row r="41" spans="14:51" x14ac:dyDescent="0.2">
      <c r="N41" s="341"/>
      <c r="AV41" s="204"/>
      <c r="AW41" s="204"/>
      <c r="AX41" s="204"/>
      <c r="AY41" s="204"/>
    </row>
    <row r="42" spans="14:51" x14ac:dyDescent="0.2">
      <c r="N42" s="341"/>
      <c r="AV42" s="204"/>
      <c r="AW42" s="204"/>
      <c r="AX42" s="204"/>
      <c r="AY42" s="204"/>
    </row>
    <row r="43" spans="14:51" x14ac:dyDescent="0.2">
      <c r="N43" s="340"/>
      <c r="AV43" s="204"/>
      <c r="AW43" s="204"/>
      <c r="AX43" s="204"/>
      <c r="AY43" s="204"/>
    </row>
    <row r="44" spans="14:51" x14ac:dyDescent="0.2">
      <c r="N44" s="340"/>
      <c r="AV44" s="204"/>
      <c r="AW44" s="204"/>
      <c r="AX44" s="204"/>
      <c r="AY44" s="204"/>
    </row>
    <row r="45" spans="14:51" x14ac:dyDescent="0.2">
      <c r="N45" s="340"/>
      <c r="AV45" s="204"/>
      <c r="AW45" s="204"/>
      <c r="AX45" s="204"/>
      <c r="AY45" s="204"/>
    </row>
    <row r="46" spans="14:51" x14ac:dyDescent="0.2">
      <c r="N46" s="340"/>
      <c r="AV46" s="204"/>
      <c r="AW46" s="204"/>
      <c r="AX46" s="204"/>
      <c r="AY46" s="204"/>
    </row>
    <row r="47" spans="14:51" x14ac:dyDescent="0.2">
      <c r="N47" s="340"/>
      <c r="AV47" s="204"/>
      <c r="AW47" s="204"/>
      <c r="AX47" s="204"/>
      <c r="AY47" s="204"/>
    </row>
    <row r="52" spans="30:30" x14ac:dyDescent="0.2">
      <c r="AD52" s="214" t="s">
        <v>112</v>
      </c>
    </row>
  </sheetData>
  <sortState xmlns:xlrd2="http://schemas.microsoft.com/office/spreadsheetml/2017/richdata2" ref="A5:AY19">
    <sortCondition ref="I5:I19"/>
  </sortState>
  <mergeCells count="13">
    <mergeCell ref="I2:K2"/>
    <mergeCell ref="AV3:AY3"/>
    <mergeCell ref="AC3:AE3"/>
    <mergeCell ref="N3:P3"/>
    <mergeCell ref="Q3:S3"/>
    <mergeCell ref="T3:V3"/>
    <mergeCell ref="W3:Y3"/>
    <mergeCell ref="Z3:AB3"/>
    <mergeCell ref="AF3:AH3"/>
    <mergeCell ref="AI3:AK3"/>
    <mergeCell ref="AL3:AN3"/>
    <mergeCell ref="AO3:AQ3"/>
    <mergeCell ref="AR3:AT3"/>
  </mergeCells>
  <conditionalFormatting sqref="M23 O23:P23 R23:S23 U23:V23 X23:Y23 AA23:AB23 AD23:AE23 AG23:AH23 AJ23:AK23 AM23:AN23 AP23:AQ23">
    <cfRule type="cellIs" dxfId="1" priority="2" operator="equal">
      <formula>"Yes"</formula>
    </cfRule>
  </conditionalFormatting>
  <conditionalFormatting sqref="AS23:AT23">
    <cfRule type="cellIs" dxfId="0" priority="1" operator="equal">
      <formula>"Yes"</formula>
    </cfRule>
  </conditionalFormatting>
  <pageMargins left="0.45" right="0.45" top="0.75" bottom="0.75" header="0.3" footer="0.3"/>
  <pageSetup scale="63" fitToWidth="2" orientation="landscape" cellComments="asDisplayed" r:id="rId1"/>
  <ignoredErrors>
    <ignoredError sqref="N5 T10 Q5:AT9 Q11:AT19 Q10:S10 U10:AT10 N6:P19 O5:P5 AU5:AY19 H5:K1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22365-60D3-49B0-A3E8-3C2DF6ADA764}">
  <sheetPr>
    <pageSetUpPr fitToPage="1"/>
  </sheetPr>
  <dimension ref="B1:AN45"/>
  <sheetViews>
    <sheetView zoomScale="80" zoomScaleNormal="80" workbookViewId="0">
      <selection activeCell="B3" sqref="B3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2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237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501" t="s">
        <v>114</v>
      </c>
      <c r="U2" s="502"/>
      <c r="V2" s="502"/>
      <c r="W2" s="502"/>
      <c r="X2" s="502"/>
      <c r="Y2" s="502"/>
      <c r="Z2" s="502"/>
      <c r="AA2" s="502"/>
      <c r="AB2" s="502"/>
      <c r="AC2" s="502"/>
      <c r="AD2" s="502"/>
      <c r="AE2" s="502"/>
      <c r="AF2" s="502"/>
      <c r="AG2" s="502"/>
      <c r="AH2" s="502"/>
      <c r="AI2" s="50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'2026 Suttons Finish Summary'!L5</f>
        <v>110.1</v>
      </c>
      <c r="G4" s="87">
        <f>$E$32/($E$25+F4)</f>
        <v>1.1678533555521891</v>
      </c>
      <c r="H4" s="132">
        <f>'2026 Suttons Finish Summary'!M5</f>
        <v>116.1</v>
      </c>
      <c r="I4" s="88">
        <f>$E$32/($E$25+H4)</f>
        <v>1.1573337336736225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>IF(W4&gt;0,1,0)</f>
        <v>0</v>
      </c>
      <c r="O4" s="128" t="str">
        <f t="shared" ref="O4:O18" si="2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3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4">IF($W4=0,"",RANK($W4,$W$4:$W$18,1)-COUNTIF($W$4:$W$18,0))</f>
        <v/>
      </c>
      <c r="Z4" s="89" t="str">
        <f t="shared" ref="Z4:Z18" si="5">IF($X4=0,"",RANK($X4,$X$4:$X$18,1)-COUNTIF($X$4:$X$18,0))</f>
        <v/>
      </c>
      <c r="AA4" s="159" t="str">
        <f t="shared" ref="AA4:AA18" si="6">IF($E$22="Yes",Y4,Z4)</f>
        <v/>
      </c>
      <c r="AB4" s="159">
        <f>IF($E$22="Yes",IF(Y4=1,5,IF(Y4=2,4,IF(Y4=3,3,IF(Y4=4,2,IF(Y4=5,1,0))))),IF(Z4=1,5,IF(Z4=2,4,IF(Z4=3,3,IF(Z4=4,2,IF(Z4=5,1,0))))))+K4</f>
        <v>0</v>
      </c>
      <c r="AC4" s="85">
        <f t="shared" ref="AC4:AC18" si="7">X4/$E$21</f>
        <v>0</v>
      </c>
      <c r="AD4" s="85">
        <f t="shared" ref="AD4:AD18" si="8">IF(AC4&gt;0,((X4/$E$21)-$E$30),0)</f>
        <v>0</v>
      </c>
      <c r="AE4" s="85">
        <f>IF(AD4&gt;30,30,IF(AD4&lt;-30,-30,(AD4)))</f>
        <v>0</v>
      </c>
      <c r="AF4" s="90">
        <f t="shared" ref="AF4:AF18" si="9">AE4*$E$23</f>
        <v>0</v>
      </c>
      <c r="AG4" s="166">
        <f>MIN(MAX(IF(S4="Yes",F4+AF4,F4),'Roster and Starting Handicaps'!M6),'Roster and Starting Handicaps'!N6)</f>
        <v>110.1</v>
      </c>
      <c r="AH4" s="166">
        <f>MIN(MAX(IF(S4="No",H4+AF4,H4),'Roster and Starting Handicaps'!O6),'Roster and Starting Handicaps'!P6)</f>
        <v>116.1</v>
      </c>
      <c r="AI4" s="159">
        <f>AB4</f>
        <v>0</v>
      </c>
      <c r="AJ4" s="16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'2026 Suttons Finish Summary'!L6</f>
        <v>87</v>
      </c>
      <c r="G5" s="31">
        <f t="shared" ref="G5:G18" si="10">$E$32/($E$25+F5)</f>
        <v>1.2102040816326529</v>
      </c>
      <c r="H5" s="27">
        <f>'2026 Suttons Finish Summary'!M6</f>
        <v>107</v>
      </c>
      <c r="I5" s="35">
        <f t="shared" ref="I5:I18" si="11">$E$32/($E$25+H5)</f>
        <v>1.1733637747336376</v>
      </c>
      <c r="J5" s="447" t="str">
        <f t="shared" ref="J5:J18" si="12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2"/>
        <v/>
      </c>
      <c r="P5" s="140">
        <f>M5-L5</f>
        <v>0</v>
      </c>
      <c r="Q5" s="141">
        <f>HOUR(P5)*3600+MINUTE(P5)*60+SECOND(P5)</f>
        <v>0</v>
      </c>
      <c r="R5" s="142">
        <f t="shared" si="3"/>
        <v>0</v>
      </c>
      <c r="S5" s="38" t="s">
        <v>166</v>
      </c>
      <c r="T5" s="94" t="str">
        <f t="shared" ref="T5:T18" si="13">IF(N5=1,IF(S5="No",H5,F5),"")</f>
        <v/>
      </c>
      <c r="U5" s="122">
        <f t="shared" ref="U5:U18" si="14">IF(S5="No",0,((H5-F5)*$E$21))</f>
        <v>0</v>
      </c>
      <c r="V5" s="122">
        <f t="shared" ref="V5:V17" si="15">IF(S5="No",0,(-(I5-G5)*Q5))</f>
        <v>0</v>
      </c>
      <c r="W5" s="141">
        <f t="shared" ref="W5:W18" si="16">Q5-R5+U5</f>
        <v>0</v>
      </c>
      <c r="X5" s="26">
        <f t="shared" ref="X5:X18" si="17">IF(S5="Yes",Q5*G5,Q5*I5)</f>
        <v>0</v>
      </c>
      <c r="Y5" s="40" t="str">
        <f t="shared" si="4"/>
        <v/>
      </c>
      <c r="Z5" s="40" t="str">
        <f t="shared" si="5"/>
        <v/>
      </c>
      <c r="AA5" s="160" t="str">
        <f t="shared" si="6"/>
        <v/>
      </c>
      <c r="AB5" s="160">
        <f t="shared" ref="AB5:AB18" si="18">IF($E$22="Yes",IF(Y5=1,5,IF(Y5=2,4,IF(Y5=3,3,IF(Y5=4,2,IF(Y5=5,1,0))))),IF(Z5=1,5,IF(Z5=2,4,IF(Z5=3,3,IF(Z5=4,2,IF(Z5=5,1,0))))))+K5</f>
        <v>0</v>
      </c>
      <c r="AC5" s="26">
        <f t="shared" si="7"/>
        <v>0</v>
      </c>
      <c r="AD5" s="26">
        <f t="shared" si="8"/>
        <v>0</v>
      </c>
      <c r="AE5" s="26">
        <f>IF(AD5&gt;30,30,IF(AD5&lt;-30,-30,(AD5)))</f>
        <v>0</v>
      </c>
      <c r="AF5" s="47">
        <f t="shared" si="9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Handicaps'!O7),'Roster and Starting Handicaps'!P7)</f>
        <v>107</v>
      </c>
      <c r="AI5" s="160">
        <f t="shared" ref="AI5:AI18" si="19">AB5</f>
        <v>0</v>
      </c>
      <c r="AJ5" s="154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>
        <f>'2026 Suttons Finish Summary'!L7</f>
        <v>54</v>
      </c>
      <c r="G6" s="34">
        <f t="shared" ref="G6" si="20">$E$32/($E$25+F6)</f>
        <v>1.2763245033112582</v>
      </c>
      <c r="H6" s="143">
        <f>'2026 Suttons Finish Summary'!M7</f>
        <v>65.599999999999994</v>
      </c>
      <c r="I6" s="43">
        <f t="shared" ref="I6" si="21">$E$32/($E$25+H6)</f>
        <v>1.2522742040285899</v>
      </c>
      <c r="J6" s="450" t="str">
        <f t="shared" si="12"/>
        <v>No</v>
      </c>
      <c r="K6" s="44">
        <f t="shared" ref="K6" si="22">IF(J6="Yes",1,0)</f>
        <v>0</v>
      </c>
      <c r="L6" s="139"/>
      <c r="M6" s="139"/>
      <c r="N6" s="32">
        <f>IF(W6&gt;0,1,0)</f>
        <v>0</v>
      </c>
      <c r="O6" s="129" t="str">
        <f t="shared" si="2"/>
        <v/>
      </c>
      <c r="P6" s="144">
        <f>M6-L6</f>
        <v>0</v>
      </c>
      <c r="Q6" s="145">
        <f>HOUR(P6)*3600+MINUTE(P6)*60+SECOND(P6)</f>
        <v>0</v>
      </c>
      <c r="R6" s="146">
        <f t="shared" ref="R6" si="23">IF(M6&gt;0,($H6*$E$21),0)</f>
        <v>0</v>
      </c>
      <c r="S6" s="38" t="s">
        <v>166</v>
      </c>
      <c r="T6" s="95" t="str">
        <f t="shared" ref="T6" si="24">IF(N6=1,IF(S6="No",H6,F6),"")</f>
        <v/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0</v>
      </c>
      <c r="X6" s="32">
        <f t="shared" ref="X6" si="28">IF(S6="Yes",Q6*G6,Q6*I6)</f>
        <v>0</v>
      </c>
      <c r="Y6" s="45" t="str">
        <f t="shared" si="4"/>
        <v/>
      </c>
      <c r="Z6" s="45" t="str">
        <f t="shared" si="5"/>
        <v/>
      </c>
      <c r="AA6" s="160" t="str">
        <f t="shared" ref="AA6" si="29">IF($E$22="Yes",Y6,Z6)</f>
        <v/>
      </c>
      <c r="AB6" s="160">
        <f t="shared" ref="AB6" si="30">IF($E$22="Yes",IF(Y6=1,5,IF(Y6=2,4,IF(Y6=3,3,IF(Y6=4,2,IF(Y6=5,1,0))))),IF(Z6=1,5,IF(Z6=2,4,IF(Z6=3,3,IF(Z6=4,2,IF(Z6=5,1,0))))))+K6</f>
        <v>0</v>
      </c>
      <c r="AC6" s="32">
        <f t="shared" ref="AC6" si="31">X6/$E$21</f>
        <v>0</v>
      </c>
      <c r="AD6" s="32">
        <f t="shared" ref="AD6" si="32">IF(AC6&gt;0,((X6/$E$21)-$E$30),0)</f>
        <v>0</v>
      </c>
      <c r="AE6" s="32">
        <f>IF(AD6&gt;30,30,IF(AD6&lt;-30,-30,(AD6)))</f>
        <v>0</v>
      </c>
      <c r="AF6" s="33">
        <f t="shared" ref="AF6" si="33">AE6*$E$23</f>
        <v>0</v>
      </c>
      <c r="AG6" s="166">
        <f>MIN(MAX(IF(S6="Yes",F6+AF6,F6),'Roster and Starting Handicaps'!M8),'Roster and Starting Handicaps'!N8)</f>
        <v>54</v>
      </c>
      <c r="AH6" s="166">
        <f>MIN(MAX(IF(S6="No",H6+AF6,H6),'Roster and Starting Handicaps'!O8),'Roster and Starting Handicaps'!P8)</f>
        <v>65.599999999999994</v>
      </c>
      <c r="AI6" s="160">
        <f t="shared" si="19"/>
        <v>0</v>
      </c>
      <c r="AJ6" s="155" t="str">
        <f t="shared" ref="AJ6" si="34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'2026 Suttons Finish Summary'!L8</f>
        <v>195</v>
      </c>
      <c r="G7" s="31">
        <f t="shared" si="10"/>
        <v>1.0347651006711409</v>
      </c>
      <c r="H7" s="27">
        <f>'2026 Suttons Finish Summary'!M8</f>
        <v>207</v>
      </c>
      <c r="I7" s="35">
        <f t="shared" si="11"/>
        <v>1.0183619550858651</v>
      </c>
      <c r="J7" s="447" t="str">
        <f t="shared" si="12"/>
        <v>No</v>
      </c>
      <c r="K7" s="36">
        <f t="shared" si="1"/>
        <v>0</v>
      </c>
      <c r="L7" s="139"/>
      <c r="M7" s="139"/>
      <c r="N7" s="26">
        <f t="shared" ref="N7:N18" si="35">IF(W7&gt;0,1,0)</f>
        <v>0</v>
      </c>
      <c r="O7" s="129" t="str">
        <f t="shared" si="2"/>
        <v/>
      </c>
      <c r="P7" s="140">
        <f t="shared" ref="P7:P18" si="36">M7-L7</f>
        <v>0</v>
      </c>
      <c r="Q7" s="141">
        <f t="shared" ref="Q7:Q18" si="37">HOUR(P7)*3600+MINUTE(P7)*60+SECOND(P7)</f>
        <v>0</v>
      </c>
      <c r="R7" s="142">
        <f t="shared" si="3"/>
        <v>0</v>
      </c>
      <c r="S7" s="38" t="s">
        <v>166</v>
      </c>
      <c r="T7" s="94" t="str">
        <f t="shared" si="13"/>
        <v/>
      </c>
      <c r="U7" s="122">
        <f t="shared" si="14"/>
        <v>0</v>
      </c>
      <c r="V7" s="122">
        <f t="shared" si="15"/>
        <v>0</v>
      </c>
      <c r="W7" s="141">
        <f t="shared" si="16"/>
        <v>0</v>
      </c>
      <c r="X7" s="26">
        <f t="shared" si="17"/>
        <v>0</v>
      </c>
      <c r="Y7" s="40" t="str">
        <f t="shared" si="4"/>
        <v/>
      </c>
      <c r="Z7" s="40" t="str">
        <f t="shared" si="5"/>
        <v/>
      </c>
      <c r="AA7" s="160" t="str">
        <f t="shared" si="6"/>
        <v/>
      </c>
      <c r="AB7" s="160">
        <f t="shared" si="18"/>
        <v>0</v>
      </c>
      <c r="AC7" s="26">
        <f t="shared" si="7"/>
        <v>0</v>
      </c>
      <c r="AD7" s="26">
        <f t="shared" si="8"/>
        <v>0</v>
      </c>
      <c r="AE7" s="26">
        <f t="shared" ref="AE7:AE18" si="38">IF(AD7&gt;30,30,IF(AD7&lt;-30,-30,(AD7)))</f>
        <v>0</v>
      </c>
      <c r="AF7" s="47">
        <f t="shared" si="9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Handicaps'!O9),'Roster and Starting Handicaps'!P9)</f>
        <v>207</v>
      </c>
      <c r="AI7" s="160">
        <f t="shared" si="19"/>
        <v>0</v>
      </c>
      <c r="AJ7" s="154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'2026 Suttons Finish Summary'!L9</f>
        <v>164.2</v>
      </c>
      <c r="G8" s="34">
        <f t="shared" si="10"/>
        <v>1.079389526743209</v>
      </c>
      <c r="H8" s="143">
        <f>'2026 Suttons Finish Summary'!M9</f>
        <v>178.2</v>
      </c>
      <c r="I8" s="43">
        <f t="shared" si="11"/>
        <v>1.0586377368854709</v>
      </c>
      <c r="J8" s="450" t="str">
        <f t="shared" si="12"/>
        <v>Yes</v>
      </c>
      <c r="K8" s="44">
        <f t="shared" si="1"/>
        <v>1</v>
      </c>
      <c r="L8" s="139">
        <v>0.70833333333333337</v>
      </c>
      <c r="M8" s="139">
        <v>0.75995370370370374</v>
      </c>
      <c r="N8" s="32">
        <f>IF(W8&gt;0,1,0)</f>
        <v>1</v>
      </c>
      <c r="O8" s="129">
        <f t="shared" si="2"/>
        <v>2</v>
      </c>
      <c r="P8" s="144">
        <f>M8-L8</f>
        <v>5.1620370370370372E-2</v>
      </c>
      <c r="Q8" s="145">
        <f>HOUR(P8)*3600+MINUTE(P8)*60+SECOND(P8)</f>
        <v>4460</v>
      </c>
      <c r="R8" s="146">
        <f t="shared" si="3"/>
        <v>670.21019999999999</v>
      </c>
      <c r="S8" s="38" t="s">
        <v>166</v>
      </c>
      <c r="T8" s="95">
        <f t="shared" si="13"/>
        <v>178.2</v>
      </c>
      <c r="U8" s="147">
        <f t="shared" si="14"/>
        <v>0</v>
      </c>
      <c r="V8" s="147">
        <f t="shared" si="15"/>
        <v>0</v>
      </c>
      <c r="W8" s="145">
        <f t="shared" si="16"/>
        <v>3789.7898</v>
      </c>
      <c r="X8" s="32">
        <f t="shared" si="17"/>
        <v>4721.5243065092</v>
      </c>
      <c r="Y8" s="45">
        <f t="shared" si="4"/>
        <v>3</v>
      </c>
      <c r="Z8" s="45">
        <f t="shared" si="5"/>
        <v>3</v>
      </c>
      <c r="AA8" s="160">
        <f t="shared" si="6"/>
        <v>3</v>
      </c>
      <c r="AB8" s="160">
        <f t="shared" si="18"/>
        <v>4</v>
      </c>
      <c r="AC8" s="32">
        <f t="shared" si="7"/>
        <v>1255.3906691064078</v>
      </c>
      <c r="AD8" s="32">
        <f t="shared" si="8"/>
        <v>11.04837880914215</v>
      </c>
      <c r="AE8" s="32">
        <f>IF(AD8&gt;30,30,IF(AD8&lt;-30,-30,(AD8)))</f>
        <v>11.04837880914215</v>
      </c>
      <c r="AF8" s="33">
        <f t="shared" si="9"/>
        <v>1.104837880914215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Handicaps'!O10),'Roster and Starting Handicaps'!P10)</f>
        <v>179.30483788091419</v>
      </c>
      <c r="AI8" s="160">
        <f t="shared" si="19"/>
        <v>4</v>
      </c>
      <c r="AJ8" s="15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'2026 Suttons Finish Summary'!L10</f>
        <v>194.4</v>
      </c>
      <c r="G9" s="31">
        <f t="shared" si="10"/>
        <v>1.0355991402471789</v>
      </c>
      <c r="H9" s="27">
        <f>'2026 Suttons Finish Summary'!M10</f>
        <v>206.4</v>
      </c>
      <c r="I9" s="35">
        <f t="shared" si="11"/>
        <v>1.019169751454257</v>
      </c>
      <c r="J9" s="447" t="str">
        <f t="shared" si="12"/>
        <v>No</v>
      </c>
      <c r="K9" s="36">
        <f t="shared" si="1"/>
        <v>0</v>
      </c>
      <c r="L9" s="139"/>
      <c r="M9" s="139"/>
      <c r="N9" s="26">
        <f t="shared" si="35"/>
        <v>0</v>
      </c>
      <c r="O9" s="129" t="str">
        <f t="shared" si="2"/>
        <v/>
      </c>
      <c r="P9" s="140">
        <f t="shared" si="36"/>
        <v>0</v>
      </c>
      <c r="Q9" s="141">
        <f t="shared" si="37"/>
        <v>0</v>
      </c>
      <c r="R9" s="142">
        <f t="shared" si="3"/>
        <v>0</v>
      </c>
      <c r="S9" s="38" t="s">
        <v>166</v>
      </c>
      <c r="T9" s="94" t="str">
        <f t="shared" si="13"/>
        <v/>
      </c>
      <c r="U9" s="122">
        <f t="shared" si="14"/>
        <v>0</v>
      </c>
      <c r="V9" s="122">
        <f t="shared" si="15"/>
        <v>0</v>
      </c>
      <c r="W9" s="141">
        <f t="shared" si="16"/>
        <v>0</v>
      </c>
      <c r="X9" s="26">
        <f t="shared" si="17"/>
        <v>0</v>
      </c>
      <c r="Y9" s="40" t="str">
        <f t="shared" si="4"/>
        <v/>
      </c>
      <c r="Z9" s="40" t="str">
        <f t="shared" si="5"/>
        <v/>
      </c>
      <c r="AA9" s="160" t="str">
        <f t="shared" si="6"/>
        <v/>
      </c>
      <c r="AB9" s="160">
        <f t="shared" si="18"/>
        <v>0</v>
      </c>
      <c r="AC9" s="26">
        <f t="shared" si="7"/>
        <v>0</v>
      </c>
      <c r="AD9" s="26">
        <f t="shared" si="8"/>
        <v>0</v>
      </c>
      <c r="AE9" s="26">
        <f t="shared" si="38"/>
        <v>0</v>
      </c>
      <c r="AF9" s="47">
        <f t="shared" si="9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Handicaps'!O11),'Roster and Starting Handicaps'!P11)</f>
        <v>206.4</v>
      </c>
      <c r="AI9" s="160">
        <f t="shared" si="19"/>
        <v>0</v>
      </c>
      <c r="AJ9" s="154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'2026 Suttons Finish Summary'!L11</f>
        <v>162</v>
      </c>
      <c r="G10" s="34">
        <f t="shared" si="10"/>
        <v>1.0827247191011236</v>
      </c>
      <c r="H10" s="143">
        <f>'2026 Suttons Finish Summary'!M11</f>
        <v>176.1</v>
      </c>
      <c r="I10" s="43">
        <f t="shared" si="11"/>
        <v>1.0616994904283157</v>
      </c>
      <c r="J10" s="450" t="str">
        <f t="shared" si="12"/>
        <v>Yes</v>
      </c>
      <c r="K10" s="44">
        <f t="shared" si="1"/>
        <v>1</v>
      </c>
      <c r="L10" s="139">
        <v>0.70833333333333337</v>
      </c>
      <c r="M10" s="139">
        <v>0.75935185185185183</v>
      </c>
      <c r="N10" s="32">
        <f t="shared" si="35"/>
        <v>1</v>
      </c>
      <c r="O10" s="129">
        <f t="shared" si="2"/>
        <v>1</v>
      </c>
      <c r="P10" s="144">
        <f t="shared" si="36"/>
        <v>5.1018518518518463E-2</v>
      </c>
      <c r="Q10" s="145">
        <f t="shared" si="37"/>
        <v>4408</v>
      </c>
      <c r="R10" s="146">
        <f t="shared" si="3"/>
        <v>662.31209999999999</v>
      </c>
      <c r="S10" s="38" t="s">
        <v>166</v>
      </c>
      <c r="T10" s="95">
        <f t="shared" si="13"/>
        <v>176.1</v>
      </c>
      <c r="U10" s="147">
        <f t="shared" si="14"/>
        <v>0</v>
      </c>
      <c r="V10" s="147">
        <f t="shared" si="15"/>
        <v>0</v>
      </c>
      <c r="W10" s="145">
        <f t="shared" si="16"/>
        <v>3745.6878999999999</v>
      </c>
      <c r="X10" s="32">
        <f t="shared" si="17"/>
        <v>4679.9713538080159</v>
      </c>
      <c r="Y10" s="45">
        <f t="shared" si="4"/>
        <v>2</v>
      </c>
      <c r="Z10" s="45">
        <f t="shared" si="5"/>
        <v>2</v>
      </c>
      <c r="AA10" s="160">
        <f t="shared" si="6"/>
        <v>2</v>
      </c>
      <c r="AB10" s="160">
        <f t="shared" si="18"/>
        <v>5</v>
      </c>
      <c r="AC10" s="32">
        <f t="shared" si="7"/>
        <v>1244.3422902972657</v>
      </c>
      <c r="AD10" s="32">
        <f t="shared" si="8"/>
        <v>0</v>
      </c>
      <c r="AE10" s="32">
        <f t="shared" si="38"/>
        <v>0</v>
      </c>
      <c r="AF10" s="33">
        <f t="shared" si="9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Handicaps'!O12),'Roster and Starting Handicaps'!P12)</f>
        <v>176.1</v>
      </c>
      <c r="AI10" s="160">
        <f t="shared" si="19"/>
        <v>5</v>
      </c>
      <c r="AJ10" s="15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'2026 Suttons Finish Summary'!L12</f>
        <v>280</v>
      </c>
      <c r="G11" s="31">
        <f t="shared" ref="G11" si="39">$E$32/($E$25+F11)</f>
        <v>0.92879518072289158</v>
      </c>
      <c r="H11" s="27">
        <f>'2026 Suttons Finish Summary'!M12</f>
        <v>288</v>
      </c>
      <c r="I11" s="35">
        <f t="shared" ref="I11" si="40">$E$32/($E$25+H11)</f>
        <v>0.91992840095465389</v>
      </c>
      <c r="J11" s="447" t="str">
        <f t="shared" si="12"/>
        <v>Yes</v>
      </c>
      <c r="K11" s="36">
        <f t="shared" si="1"/>
        <v>1</v>
      </c>
      <c r="L11" s="139">
        <v>0.70833333333333337</v>
      </c>
      <c r="M11" s="139">
        <v>0.77083333333333337</v>
      </c>
      <c r="N11" s="26">
        <f t="shared" ref="N11" si="41">IF(W11&gt;0,1,0)</f>
        <v>1</v>
      </c>
      <c r="O11" s="129">
        <f t="shared" si="2"/>
        <v>4</v>
      </c>
      <c r="P11" s="140">
        <f t="shared" ref="P11" si="42">M11-L11</f>
        <v>6.25E-2</v>
      </c>
      <c r="Q11" s="141">
        <f t="shared" ref="Q11" si="43">HOUR(P11)*3600+MINUTE(P11)*60+SECOND(P11)</f>
        <v>5400</v>
      </c>
      <c r="R11" s="142">
        <f t="shared" ref="R11" si="44">IF(M11&gt;0,($H11*$E$21),0)</f>
        <v>1083.1680000000001</v>
      </c>
      <c r="S11" s="38" t="s">
        <v>166</v>
      </c>
      <c r="T11" s="94">
        <f t="shared" ref="T11" si="45">IF(N11=1,IF(S11="No",H11,F11),"")</f>
        <v>288</v>
      </c>
      <c r="U11" s="122">
        <f t="shared" ref="U11" si="46">IF(S11="No",0,((H11-F11)*$E$21))</f>
        <v>0</v>
      </c>
      <c r="V11" s="122">
        <f t="shared" ref="V11" si="47">IF(S11="No",0,(-(I11-G11)*Q11))</f>
        <v>0</v>
      </c>
      <c r="W11" s="141">
        <f t="shared" ref="W11" si="48">Q11-R11+U11</f>
        <v>4316.8320000000003</v>
      </c>
      <c r="X11" s="26">
        <f t="shared" ref="X11" si="49">IF(S11="Yes",Q11*G11,Q11*I11)</f>
        <v>4967.6133651551309</v>
      </c>
      <c r="Y11" s="40">
        <f t="shared" si="4"/>
        <v>4</v>
      </c>
      <c r="Z11" s="40">
        <f t="shared" si="5"/>
        <v>4</v>
      </c>
      <c r="AA11" s="160">
        <f t="shared" ref="AA11" si="50">IF($E$22="Yes",Y11,Z11)</f>
        <v>4</v>
      </c>
      <c r="AB11" s="160">
        <f t="shared" ref="AB11" si="51">IF($E$22="Yes",IF(Y11=1,5,IF(Y11=2,4,IF(Y11=3,3,IF(Y11=4,2,IF(Y11=5,1,0))))),IF(Z11=1,5,IF(Z11=2,4,IF(Z11=3,3,IF(Z11=4,2,IF(Z11=5,1,0))))))+K11</f>
        <v>3</v>
      </c>
      <c r="AC11" s="26">
        <f t="shared" ref="AC11" si="52">X11/$E$21</f>
        <v>1320.8224847527601</v>
      </c>
      <c r="AD11" s="26">
        <f t="shared" ref="AD11" si="53">IF(AC11&gt;0,((X11/$E$21)-$E$30),0)</f>
        <v>76.480194455494484</v>
      </c>
      <c r="AE11" s="26">
        <f t="shared" ref="AE11" si="54">IF(AD11&gt;30,30,IF(AD11&lt;-30,-30,(AD11)))</f>
        <v>30</v>
      </c>
      <c r="AF11" s="47">
        <f t="shared" ref="AF11" si="55">AE11*$E$23</f>
        <v>3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Handicaps'!O13),'Roster and Starting Handicaps'!P13)</f>
        <v>291</v>
      </c>
      <c r="AI11" s="160">
        <f t="shared" ref="AI11" si="56">AB11</f>
        <v>3</v>
      </c>
      <c r="AJ11" s="154" t="str">
        <f t="shared" ref="AJ11" si="57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'2026 Suttons Finish Summary'!L13</f>
        <v>270</v>
      </c>
      <c r="G12" s="34">
        <f t="shared" si="10"/>
        <v>0.94012195121951214</v>
      </c>
      <c r="H12" s="143">
        <f>'2026 Suttons Finish Summary'!M13</f>
        <v>276.2</v>
      </c>
      <c r="I12" s="43">
        <f t="shared" si="11"/>
        <v>0.93306705398208656</v>
      </c>
      <c r="J12" s="450" t="str">
        <f t="shared" si="12"/>
        <v>No</v>
      </c>
      <c r="K12" s="44">
        <f t="shared" si="1"/>
        <v>0</v>
      </c>
      <c r="L12" s="139"/>
      <c r="M12" s="139"/>
      <c r="N12" s="32">
        <f t="shared" si="35"/>
        <v>0</v>
      </c>
      <c r="O12" s="129" t="str">
        <f t="shared" si="2"/>
        <v/>
      </c>
      <c r="P12" s="144">
        <f t="shared" si="36"/>
        <v>0</v>
      </c>
      <c r="Q12" s="145">
        <f t="shared" si="37"/>
        <v>0</v>
      </c>
      <c r="R12" s="146">
        <f t="shared" si="3"/>
        <v>0</v>
      </c>
      <c r="S12" s="38" t="s">
        <v>166</v>
      </c>
      <c r="T12" s="95" t="str">
        <f t="shared" si="13"/>
        <v/>
      </c>
      <c r="U12" s="147">
        <f t="shared" si="14"/>
        <v>0</v>
      </c>
      <c r="V12" s="147">
        <f t="shared" si="15"/>
        <v>0</v>
      </c>
      <c r="W12" s="145">
        <f t="shared" si="16"/>
        <v>0</v>
      </c>
      <c r="X12" s="32">
        <f t="shared" si="17"/>
        <v>0</v>
      </c>
      <c r="Y12" s="45" t="str">
        <f t="shared" si="4"/>
        <v/>
      </c>
      <c r="Z12" s="45" t="str">
        <f t="shared" si="5"/>
        <v/>
      </c>
      <c r="AA12" s="160" t="str">
        <f t="shared" si="6"/>
        <v/>
      </c>
      <c r="AB12" s="160">
        <f t="shared" si="18"/>
        <v>0</v>
      </c>
      <c r="AC12" s="32">
        <f t="shared" si="7"/>
        <v>0</v>
      </c>
      <c r="AD12" s="32">
        <f t="shared" si="8"/>
        <v>0</v>
      </c>
      <c r="AE12" s="32">
        <f t="shared" si="38"/>
        <v>0</v>
      </c>
      <c r="AF12" s="33">
        <f t="shared" si="9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Handicaps'!O14),'Roster and Starting Handicaps'!P14)</f>
        <v>276.2</v>
      </c>
      <c r="AI12" s="160">
        <f t="shared" si="19"/>
        <v>0</v>
      </c>
      <c r="AJ12" s="15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'2026 Suttons Finish Summary'!L14</f>
        <v>218.4</v>
      </c>
      <c r="G13" s="31">
        <f t="shared" si="10"/>
        <v>1.0032535137948986</v>
      </c>
      <c r="H13" s="27">
        <f>'2026 Suttons Finish Summary'!M14</f>
        <v>227.4</v>
      </c>
      <c r="I13" s="35">
        <f t="shared" si="11"/>
        <v>0.99163879598662208</v>
      </c>
      <c r="J13" s="447" t="str">
        <f t="shared" si="12"/>
        <v>No</v>
      </c>
      <c r="K13" s="36">
        <f t="shared" si="1"/>
        <v>0</v>
      </c>
      <c r="L13" s="139"/>
      <c r="M13" s="139"/>
      <c r="N13" s="26">
        <f t="shared" si="35"/>
        <v>0</v>
      </c>
      <c r="O13" s="129" t="str">
        <f t="shared" si="2"/>
        <v/>
      </c>
      <c r="P13" s="140">
        <f t="shared" si="36"/>
        <v>0</v>
      </c>
      <c r="Q13" s="141">
        <f t="shared" si="37"/>
        <v>0</v>
      </c>
      <c r="R13" s="142">
        <f t="shared" si="3"/>
        <v>0</v>
      </c>
      <c r="S13" s="38" t="s">
        <v>166</v>
      </c>
      <c r="T13" s="94" t="str">
        <f t="shared" si="13"/>
        <v/>
      </c>
      <c r="U13" s="122">
        <f t="shared" si="14"/>
        <v>0</v>
      </c>
      <c r="V13" s="122">
        <f t="shared" si="15"/>
        <v>0</v>
      </c>
      <c r="W13" s="141">
        <f t="shared" si="16"/>
        <v>0</v>
      </c>
      <c r="X13" s="26">
        <f t="shared" si="17"/>
        <v>0</v>
      </c>
      <c r="Y13" s="40" t="str">
        <f t="shared" si="4"/>
        <v/>
      </c>
      <c r="Z13" s="40" t="str">
        <f t="shared" si="5"/>
        <v/>
      </c>
      <c r="AA13" s="160" t="str">
        <f t="shared" si="6"/>
        <v/>
      </c>
      <c r="AB13" s="160">
        <f t="shared" si="18"/>
        <v>0</v>
      </c>
      <c r="AC13" s="26">
        <f t="shared" si="7"/>
        <v>0</v>
      </c>
      <c r="AD13" s="26">
        <f t="shared" si="8"/>
        <v>0</v>
      </c>
      <c r="AE13" s="26">
        <f t="shared" si="38"/>
        <v>0</v>
      </c>
      <c r="AF13" s="47">
        <f t="shared" si="9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Handicaps'!O15),'Roster and Starting Handicaps'!P15)</f>
        <v>227.4</v>
      </c>
      <c r="AI13" s="160">
        <f t="shared" si="19"/>
        <v>0</v>
      </c>
      <c r="AJ13" s="154" t="str">
        <f t="shared" si="0"/>
        <v>Mirabelle</v>
      </c>
      <c r="AK13" s="51"/>
      <c r="AL13" s="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'2026 Suttons Finish Summary'!L15</f>
        <v>235.6</v>
      </c>
      <c r="G14" s="34">
        <f t="shared" si="10"/>
        <v>0.98128818737270873</v>
      </c>
      <c r="H14" s="143">
        <f>'2026 Suttons Finish Summary'!M15</f>
        <v>241.3</v>
      </c>
      <c r="I14" s="43">
        <f t="shared" si="11"/>
        <v>0.97421963856944271</v>
      </c>
      <c r="J14" s="450" t="str">
        <f t="shared" si="12"/>
        <v>Yes</v>
      </c>
      <c r="K14" s="44">
        <f t="shared" si="1"/>
        <v>1</v>
      </c>
      <c r="L14" s="139">
        <v>0.70833333333333337</v>
      </c>
      <c r="M14" s="139">
        <v>0.76167824074074075</v>
      </c>
      <c r="N14" s="32">
        <f t="shared" si="35"/>
        <v>1</v>
      </c>
      <c r="O14" s="129">
        <f t="shared" si="2"/>
        <v>3</v>
      </c>
      <c r="P14" s="144">
        <f t="shared" si="36"/>
        <v>5.3344907407407383E-2</v>
      </c>
      <c r="Q14" s="145">
        <f>HOUR(P14)*3600+MINUTE(P14)*60+SECOND(P14)</f>
        <v>4609</v>
      </c>
      <c r="R14" s="146">
        <f t="shared" si="3"/>
        <v>907.52930000000003</v>
      </c>
      <c r="S14" s="38" t="s">
        <v>166</v>
      </c>
      <c r="T14" s="95">
        <f t="shared" si="13"/>
        <v>241.3</v>
      </c>
      <c r="U14" s="147">
        <f t="shared" si="14"/>
        <v>0</v>
      </c>
      <c r="V14" s="147">
        <f t="shared" si="15"/>
        <v>0</v>
      </c>
      <c r="W14" s="145">
        <f t="shared" si="16"/>
        <v>3701.4706999999999</v>
      </c>
      <c r="X14" s="32">
        <f t="shared" si="17"/>
        <v>4490.1783141665619</v>
      </c>
      <c r="Y14" s="45">
        <f t="shared" si="4"/>
        <v>1</v>
      </c>
      <c r="Z14" s="45">
        <f t="shared" si="5"/>
        <v>1</v>
      </c>
      <c r="AA14" s="160">
        <f t="shared" si="6"/>
        <v>1</v>
      </c>
      <c r="AB14" s="160">
        <f t="shared" si="18"/>
        <v>6</v>
      </c>
      <c r="AC14" s="32">
        <f t="shared" si="7"/>
        <v>1193.8788391828136</v>
      </c>
      <c r="AD14" s="32">
        <f t="shared" si="8"/>
        <v>-50.463451114452027</v>
      </c>
      <c r="AE14" s="32">
        <f t="shared" si="38"/>
        <v>-30</v>
      </c>
      <c r="AF14" s="33">
        <f t="shared" si="9"/>
        <v>-3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Handicaps'!O16),'Roster and Starting Handicaps'!P16)</f>
        <v>238.3</v>
      </c>
      <c r="AI14" s="160">
        <f t="shared" si="19"/>
        <v>6</v>
      </c>
      <c r="AJ14" s="15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'2026 Suttons Finish Summary'!L16</f>
        <v>98.7</v>
      </c>
      <c r="G15" s="31">
        <f t="shared" si="10"/>
        <v>1.188376753507014</v>
      </c>
      <c r="H15" s="27">
        <f>'2026 Suttons Finish Summary'!M16</f>
        <v>112.2</v>
      </c>
      <c r="I15" s="35">
        <f t="shared" si="11"/>
        <v>1.1641498036846873</v>
      </c>
      <c r="J15" s="447" t="str">
        <f t="shared" si="12"/>
        <v>No</v>
      </c>
      <c r="K15" s="36">
        <f t="shared" si="1"/>
        <v>0</v>
      </c>
      <c r="L15" s="139"/>
      <c r="M15" s="139"/>
      <c r="N15" s="26">
        <f t="shared" si="35"/>
        <v>0</v>
      </c>
      <c r="O15" s="129" t="str">
        <f t="shared" si="2"/>
        <v/>
      </c>
      <c r="P15" s="140">
        <f t="shared" si="36"/>
        <v>0</v>
      </c>
      <c r="Q15" s="141">
        <f t="shared" si="37"/>
        <v>0</v>
      </c>
      <c r="R15" s="142">
        <f t="shared" si="3"/>
        <v>0</v>
      </c>
      <c r="S15" s="38" t="s">
        <v>166</v>
      </c>
      <c r="T15" s="408" t="str">
        <f t="shared" si="13"/>
        <v/>
      </c>
      <c r="U15" s="122">
        <f t="shared" si="14"/>
        <v>0</v>
      </c>
      <c r="V15" s="122">
        <f t="shared" si="15"/>
        <v>0</v>
      </c>
      <c r="W15" s="141">
        <f t="shared" si="16"/>
        <v>0</v>
      </c>
      <c r="X15" s="26">
        <f t="shared" si="17"/>
        <v>0</v>
      </c>
      <c r="Y15" s="40" t="str">
        <f t="shared" si="4"/>
        <v/>
      </c>
      <c r="Z15" s="40" t="str">
        <f t="shared" si="5"/>
        <v/>
      </c>
      <c r="AA15" s="160" t="str">
        <f t="shared" si="6"/>
        <v/>
      </c>
      <c r="AB15" s="160">
        <f t="shared" si="18"/>
        <v>0</v>
      </c>
      <c r="AC15" s="26">
        <f t="shared" si="7"/>
        <v>0</v>
      </c>
      <c r="AD15" s="26">
        <f t="shared" si="8"/>
        <v>0</v>
      </c>
      <c r="AE15" s="26">
        <f t="shared" si="38"/>
        <v>0</v>
      </c>
      <c r="AF15" s="47">
        <f t="shared" si="9"/>
        <v>0</v>
      </c>
      <c r="AG15" s="149">
        <f>MIN(MAX(IF(S15="Yes",F15+AF15,F15),'Roster and Starting Handicaps'!M17),'Roster and Starting Handicaps'!N17)</f>
        <v>98.7</v>
      </c>
      <c r="AH15" s="149">
        <f>MIN(MAX(IF(S15="No",H15+AF15,H15),'Roster and Starting Handicaps'!O17),'Roster and Starting Handicaps'!P17)</f>
        <v>112.2</v>
      </c>
      <c r="AI15" s="160">
        <f t="shared" si="19"/>
        <v>0</v>
      </c>
      <c r="AJ15" s="154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'2026 Suttons Finish Summary'!L17</f>
        <v>157.5</v>
      </c>
      <c r="G16" s="34">
        <f t="shared" si="10"/>
        <v>1.0896113074204947</v>
      </c>
      <c r="H16" s="143">
        <f>'2026 Suttons Finish Summary'!M17</f>
        <v>163.5</v>
      </c>
      <c r="I16" s="43">
        <f t="shared" si="11"/>
        <v>1.080448493342677</v>
      </c>
      <c r="J16" s="450" t="str">
        <f t="shared" si="12"/>
        <v>No</v>
      </c>
      <c r="K16" s="44">
        <f t="shared" si="1"/>
        <v>0</v>
      </c>
      <c r="L16" s="139"/>
      <c r="M16" s="139"/>
      <c r="N16" s="32">
        <f t="shared" si="35"/>
        <v>0</v>
      </c>
      <c r="O16" s="129" t="str">
        <f t="shared" si="2"/>
        <v/>
      </c>
      <c r="P16" s="144">
        <f t="shared" si="36"/>
        <v>0</v>
      </c>
      <c r="Q16" s="145">
        <f t="shared" si="37"/>
        <v>0</v>
      </c>
      <c r="R16" s="146">
        <f t="shared" si="3"/>
        <v>0</v>
      </c>
      <c r="S16" s="38" t="s">
        <v>166</v>
      </c>
      <c r="T16" s="95" t="str">
        <f t="shared" si="13"/>
        <v/>
      </c>
      <c r="U16" s="147">
        <f t="shared" si="14"/>
        <v>0</v>
      </c>
      <c r="V16" s="147">
        <f t="shared" si="15"/>
        <v>0</v>
      </c>
      <c r="W16" s="145">
        <f t="shared" si="16"/>
        <v>0</v>
      </c>
      <c r="X16" s="32">
        <f t="shared" si="17"/>
        <v>0</v>
      </c>
      <c r="Y16" s="45" t="str">
        <f t="shared" si="4"/>
        <v/>
      </c>
      <c r="Z16" s="45" t="str">
        <f t="shared" si="5"/>
        <v/>
      </c>
      <c r="AA16" s="160" t="str">
        <f t="shared" si="6"/>
        <v/>
      </c>
      <c r="AB16" s="160">
        <f t="shared" si="18"/>
        <v>0</v>
      </c>
      <c r="AC16" s="32">
        <f t="shared" si="7"/>
        <v>0</v>
      </c>
      <c r="AD16" s="32">
        <f t="shared" si="8"/>
        <v>0</v>
      </c>
      <c r="AE16" s="32">
        <f t="shared" si="38"/>
        <v>0</v>
      </c>
      <c r="AF16" s="33">
        <f t="shared" si="9"/>
        <v>0</v>
      </c>
      <c r="AG16" s="148">
        <f>MIN(MAX(IF(S16="Yes",F16+AF16,F16),'Roster and Starting Handicaps'!M18),'Roster and Starting Handicaps'!N18)</f>
        <v>157.5</v>
      </c>
      <c r="AH16" s="166">
        <f>MIN(MAX(IF(S16="No",H16+AF16,H16),'Roster and Starting Handicaps'!O18),'Roster and Starting Handicaps'!P18)</f>
        <v>163.5</v>
      </c>
      <c r="AI16" s="160">
        <f t="shared" si="19"/>
        <v>0</v>
      </c>
      <c r="AJ16" s="15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>
        <f>'2026 Suttons Finish Summary'!L18</f>
        <v>46</v>
      </c>
      <c r="G17" s="401">
        <f t="shared" si="10"/>
        <v>1.2934563758389261</v>
      </c>
      <c r="H17" s="400">
        <f>'2026 Suttons Finish Summary'!M18</f>
        <v>57.8</v>
      </c>
      <c r="I17" s="402">
        <f t="shared" si="11"/>
        <v>1.2683448502796972</v>
      </c>
      <c r="J17" s="448" t="str">
        <f t="shared" si="12"/>
        <v>No</v>
      </c>
      <c r="K17" s="403">
        <f t="shared" si="1"/>
        <v>0</v>
      </c>
      <c r="L17" s="150"/>
      <c r="M17" s="150"/>
      <c r="N17" s="404">
        <f>IF(W17&gt;0,1,0)</f>
        <v>0</v>
      </c>
      <c r="O17" s="130" t="str">
        <f t="shared" si="2"/>
        <v/>
      </c>
      <c r="P17" s="405">
        <f>M17-L17</f>
        <v>0</v>
      </c>
      <c r="Q17" s="406">
        <f>HOUR(P17)*3600+MINUTE(P17)*60+SECOND(P17)</f>
        <v>0</v>
      </c>
      <c r="R17" s="407">
        <f t="shared" si="3"/>
        <v>0</v>
      </c>
      <c r="S17" s="59" t="s">
        <v>166</v>
      </c>
      <c r="T17" s="94" t="str">
        <f t="shared" si="13"/>
        <v/>
      </c>
      <c r="U17" s="409">
        <f t="shared" si="14"/>
        <v>0</v>
      </c>
      <c r="V17" s="409">
        <f t="shared" si="15"/>
        <v>0</v>
      </c>
      <c r="W17" s="406">
        <f t="shared" si="16"/>
        <v>0</v>
      </c>
      <c r="X17" s="404">
        <f t="shared" si="17"/>
        <v>0</v>
      </c>
      <c r="Y17" s="410" t="str">
        <f t="shared" si="4"/>
        <v/>
      </c>
      <c r="Z17" s="411" t="str">
        <f t="shared" si="5"/>
        <v/>
      </c>
      <c r="AA17" s="161" t="str">
        <f t="shared" si="6"/>
        <v/>
      </c>
      <c r="AB17" s="162">
        <f t="shared" si="18"/>
        <v>0</v>
      </c>
      <c r="AC17" s="404">
        <f t="shared" si="7"/>
        <v>0</v>
      </c>
      <c r="AD17" s="404">
        <f t="shared" si="8"/>
        <v>0</v>
      </c>
      <c r="AE17" s="404">
        <f>IF(AD17&gt;30,30,IF(AD17&lt;-30,-30,(AD17)))</f>
        <v>0</v>
      </c>
      <c r="AF17" s="412">
        <f t="shared" si="9"/>
        <v>0</v>
      </c>
      <c r="AG17" s="413">
        <f>MIN(MAX(IF(S17="Yes",F17+AF17,F17),'Roster and Starting Handicaps'!M19),'Roster and Starting Handicaps'!N19)</f>
        <v>46</v>
      </c>
      <c r="AH17" s="413">
        <f>MIN(MAX(IF(S17="No",H17+AF17,H17),'Roster and Starting Handicaps'!O19),'Roster and Starting Handicaps'!P19)</f>
        <v>57.8</v>
      </c>
      <c r="AI17" s="160">
        <f t="shared" si="19"/>
        <v>0</v>
      </c>
      <c r="AJ17" s="154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'2026 Suttons Finish Summary'!L19</f>
        <v>194.4</v>
      </c>
      <c r="G18" s="431">
        <f t="shared" si="10"/>
        <v>1.0355991402471789</v>
      </c>
      <c r="H18" s="430">
        <f>'2026 Suttons Finish Summary'!M19</f>
        <v>207.2</v>
      </c>
      <c r="I18" s="432">
        <f t="shared" si="11"/>
        <v>1.018092974115161</v>
      </c>
      <c r="J18" s="451" t="str">
        <f t="shared" si="12"/>
        <v>No</v>
      </c>
      <c r="K18" s="433">
        <f t="shared" si="1"/>
        <v>0</v>
      </c>
      <c r="L18" s="151"/>
      <c r="M18" s="151"/>
      <c r="N18" s="434">
        <f t="shared" si="35"/>
        <v>0</v>
      </c>
      <c r="O18" s="131" t="str">
        <f t="shared" si="2"/>
        <v/>
      </c>
      <c r="P18" s="435">
        <f t="shared" si="36"/>
        <v>0</v>
      </c>
      <c r="Q18" s="436">
        <f t="shared" si="37"/>
        <v>0</v>
      </c>
      <c r="R18" s="437">
        <f t="shared" si="3"/>
        <v>0</v>
      </c>
      <c r="S18" s="39" t="s">
        <v>166</v>
      </c>
      <c r="T18" s="438" t="str">
        <f t="shared" si="13"/>
        <v/>
      </c>
      <c r="U18" s="439">
        <f t="shared" si="14"/>
        <v>0</v>
      </c>
      <c r="V18" s="439">
        <f>IF(S18="No",0,(-(I18-G18)*Q18))</f>
        <v>0</v>
      </c>
      <c r="W18" s="436">
        <f t="shared" si="16"/>
        <v>0</v>
      </c>
      <c r="X18" s="434">
        <f t="shared" si="17"/>
        <v>0</v>
      </c>
      <c r="Y18" s="440" t="str">
        <f t="shared" si="4"/>
        <v/>
      </c>
      <c r="Z18" s="440" t="str">
        <f t="shared" si="5"/>
        <v/>
      </c>
      <c r="AA18" s="163" t="str">
        <f t="shared" si="6"/>
        <v/>
      </c>
      <c r="AB18" s="163">
        <f t="shared" si="18"/>
        <v>0</v>
      </c>
      <c r="AC18" s="434">
        <f t="shared" si="7"/>
        <v>0</v>
      </c>
      <c r="AD18" s="434">
        <f t="shared" si="8"/>
        <v>0</v>
      </c>
      <c r="AE18" s="434">
        <f t="shared" si="38"/>
        <v>0</v>
      </c>
      <c r="AF18" s="441">
        <f t="shared" si="9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Handicaps'!O20),'Roster and Starting Handicaps'!P20)</f>
        <v>207.2</v>
      </c>
      <c r="AI18" s="163">
        <f t="shared" si="19"/>
        <v>0</v>
      </c>
      <c r="AJ18" s="443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f>AA31</f>
        <v>3.7610000000000001</v>
      </c>
      <c r="G21" s="456" t="s">
        <v>169</v>
      </c>
      <c r="H21" s="457"/>
      <c r="I21" s="494" t="s">
        <v>121</v>
      </c>
      <c r="J21" s="457"/>
      <c r="K21" s="499" t="s">
        <v>170</v>
      </c>
      <c r="L21" s="468"/>
      <c r="M21" s="499" t="s">
        <v>171</v>
      </c>
      <c r="N21" s="466"/>
      <c r="P21" s="495" t="s">
        <v>172</v>
      </c>
      <c r="Q21" s="496"/>
      <c r="U21" s="58" t="s">
        <v>173</v>
      </c>
      <c r="W21" s="58" t="s">
        <v>174</v>
      </c>
      <c r="Z21" s="199" t="s">
        <v>175</v>
      </c>
      <c r="AA21" s="52"/>
      <c r="AD21" s="18" t="s">
        <v>176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str">
        <f>IF($E$28&gt;0,VLOOKUP(1,$AA$4:$AJ$18,10,FALSE),"")</f>
        <v>Outrageous</v>
      </c>
      <c r="J22" s="348"/>
      <c r="K22" s="497" cm="1">
        <f t="array" ref="K22">IFERROR(VLOOKUP(I22,$B$4:$X$18,23,0)-_xlfn.MINIFS($X$4:$X$18,$X$4:$X$18,"&gt;0"),"")</f>
        <v>0</v>
      </c>
      <c r="L22" s="498"/>
      <c r="M22" s="497">
        <f>IFERROR(VLOOKUP(I22,$B$4:$W$18,22,0)-_xlfn.MINIFS($W$4:$W$18,$W$4:$W$18,"&gt;0"),"")</f>
        <v>0</v>
      </c>
      <c r="N22" s="500"/>
      <c r="P22" s="76" t="s">
        <v>109</v>
      </c>
      <c r="Q22" s="76" t="s">
        <v>178</v>
      </c>
      <c r="AA22" s="200"/>
      <c r="AD22" s="378"/>
      <c r="AE22" s="378"/>
      <c r="AF22" s="378"/>
      <c r="AG22" s="378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>Second Place</v>
      </c>
      <c r="H23" s="453"/>
      <c r="I23" s="458" t="str">
        <f>IF($E$28&gt;1,VLOOKUP(2,$AA$4:$AJ$18,10,FALSE),"")</f>
        <v>KristinB II</v>
      </c>
      <c r="J23" s="459"/>
      <c r="K23" s="497">
        <f>IFERROR(VLOOKUP(I23,$B$4:$X$18,23,0)-_xlfn.MINIFS($X$4:$X$18,$X$4:$X$18,"&gt;0"),"")</f>
        <v>189.79303964145402</v>
      </c>
      <c r="L23" s="498"/>
      <c r="M23" s="497">
        <f t="shared" ref="M23:M33" si="58">IFERROR(VLOOKUP(I23,$B$4:$W$18,22,0)-_xlfn.MINIFS($W$4:$W$18,$W$4:$W$18,"&gt;0"),"")</f>
        <v>44.217200000000048</v>
      </c>
      <c r="N23" s="500"/>
      <c r="P23" s="349">
        <v>2</v>
      </c>
      <c r="Q23" s="350">
        <v>1</v>
      </c>
      <c r="U23" s="378" t="s">
        <v>180</v>
      </c>
      <c r="V23" s="378"/>
      <c r="W23" s="379" t="s">
        <v>205</v>
      </c>
      <c r="X23" s="353"/>
      <c r="Y23" s="353"/>
      <c r="Z23" s="353"/>
      <c r="AA23" s="374">
        <v>1.4630000000000001</v>
      </c>
      <c r="AD23" s="378" t="s">
        <v>231</v>
      </c>
      <c r="AE23" s="378"/>
      <c r="AF23" s="378"/>
      <c r="AG23" s="378"/>
    </row>
    <row r="24" spans="2:37" ht="18" customHeight="1" x14ac:dyDescent="0.2">
      <c r="D24" s="56" t="s">
        <v>181</v>
      </c>
      <c r="E24" s="60" t="s">
        <v>182</v>
      </c>
      <c r="G24" s="452" t="str">
        <f>IF(E28&gt;2,"Third Place","")</f>
        <v>Third Place</v>
      </c>
      <c r="H24" s="453"/>
      <c r="I24" s="458" t="str">
        <f>IF($E$28&gt;2,VLOOKUP(3,$AA$4:$AJ$18,10,FALSE),"")</f>
        <v>Feng Shui</v>
      </c>
      <c r="J24" s="459"/>
      <c r="K24" s="497">
        <f t="shared" ref="K24:K33" si="59">IFERROR(VLOOKUP(I24,$B$4:$X$18,23,0)-_xlfn.MINIFS($X$4:$X$18,$X$4:$X$18,"&gt;0"),"")</f>
        <v>231.34599234263806</v>
      </c>
      <c r="L24" s="498"/>
      <c r="M24" s="497">
        <f t="shared" si="58"/>
        <v>88.319100000000162</v>
      </c>
      <c r="N24" s="500"/>
      <c r="P24" s="77">
        <v>3</v>
      </c>
      <c r="Q24" s="66">
        <v>2</v>
      </c>
      <c r="U24" s="378" t="s">
        <v>205</v>
      </c>
      <c r="V24" s="378"/>
      <c r="W24" s="379" t="s">
        <v>230</v>
      </c>
      <c r="X24" s="353"/>
      <c r="Y24" s="353"/>
      <c r="Z24" s="353"/>
      <c r="AA24" s="374">
        <v>1.2769999999999999</v>
      </c>
      <c r="AD24" s="378"/>
      <c r="AE24" s="378"/>
      <c r="AF24" s="378"/>
      <c r="AG24" s="378"/>
    </row>
    <row r="25" spans="2:37" ht="18" customHeight="1" x14ac:dyDescent="0.2">
      <c r="D25" s="56" t="s">
        <v>183</v>
      </c>
      <c r="E25" s="84">
        <f>VLOOKUP(E24,I37:K39,3,0)</f>
        <v>550</v>
      </c>
      <c r="G25" s="452" t="str">
        <f>IF(E28&gt;3,"Fourth Place","")</f>
        <v>Fourth Place</v>
      </c>
      <c r="H25" s="453"/>
      <c r="I25" s="458" t="str">
        <f>IF($E$28&gt;3,VLOOKUP(4,$AA$4:$AJ$18,10,FALSE),"")</f>
        <v>Lone Gull</v>
      </c>
      <c r="J25" s="459"/>
      <c r="K25" s="497">
        <f t="shared" si="59"/>
        <v>477.43505098856895</v>
      </c>
      <c r="L25" s="498"/>
      <c r="M25" s="497">
        <f t="shared" si="58"/>
        <v>615.36130000000048</v>
      </c>
      <c r="N25" s="500"/>
      <c r="P25" s="77">
        <v>4</v>
      </c>
      <c r="Q25" s="66">
        <v>2</v>
      </c>
      <c r="U25" s="378" t="s">
        <v>230</v>
      </c>
      <c r="V25" s="378"/>
      <c r="W25" s="379" t="s">
        <v>180</v>
      </c>
      <c r="X25" s="353"/>
      <c r="Y25" s="353"/>
      <c r="Z25" s="353"/>
      <c r="AA25" s="374">
        <v>1.0209999999999999</v>
      </c>
      <c r="AD25" s="378"/>
      <c r="AE25" s="378"/>
      <c r="AF25" s="378"/>
      <c r="AG25" s="378"/>
    </row>
    <row r="26" spans="2:37" ht="18" customHeight="1" x14ac:dyDescent="0.2">
      <c r="D26" s="61"/>
      <c r="E26" s="62"/>
      <c r="G26" s="452" t="str">
        <f>IF(E28&gt;4,"Fifth Place","")</f>
        <v/>
      </c>
      <c r="H26" s="453"/>
      <c r="I26" s="458" t="str">
        <f>IF($E$28&gt;4,VLOOKUP(5,$AA$4:$AJ$18,10,FALSE),"")</f>
        <v/>
      </c>
      <c r="J26" s="459"/>
      <c r="K26" s="497" t="str">
        <f t="shared" si="59"/>
        <v/>
      </c>
      <c r="L26" s="498"/>
      <c r="M26" s="497" t="str">
        <f t="shared" si="58"/>
        <v/>
      </c>
      <c r="N26" s="500"/>
      <c r="P26" s="77">
        <v>5</v>
      </c>
      <c r="Q26" s="66">
        <v>2</v>
      </c>
      <c r="S26" s="375">
        <f>COUNTIF(Q4:Q18,3600)</f>
        <v>0</v>
      </c>
      <c r="U26" s="378"/>
      <c r="V26" s="378"/>
      <c r="W26" s="379"/>
      <c r="X26" s="353"/>
      <c r="Y26" s="353"/>
      <c r="Z26" s="353"/>
      <c r="AA26" s="374"/>
      <c r="AD26" s="378"/>
      <c r="AE26" s="378"/>
      <c r="AF26" s="378"/>
      <c r="AG26" s="378"/>
    </row>
    <row r="27" spans="2:37" ht="18" customHeight="1" x14ac:dyDescent="0.2">
      <c r="D27" s="56" t="s">
        <v>184</v>
      </c>
      <c r="E27" s="19">
        <f>SUM(K4:K18)</f>
        <v>4</v>
      </c>
      <c r="G27" s="452" t="str">
        <f>IF($E$28&gt;5,"Sixth Place","")</f>
        <v/>
      </c>
      <c r="H27" s="453"/>
      <c r="I27" s="458" t="str">
        <f>IF($E$28&gt;5,VLOOKUP(6,$AA$4:$AJ$18,10,FALSE),"")</f>
        <v/>
      </c>
      <c r="J27" s="459"/>
      <c r="K27" s="497" t="str">
        <f t="shared" si="59"/>
        <v/>
      </c>
      <c r="L27" s="498"/>
      <c r="M27" s="497" t="str">
        <f t="shared" si="58"/>
        <v/>
      </c>
      <c r="N27" s="500"/>
      <c r="P27" s="77">
        <v>6</v>
      </c>
      <c r="Q27" s="66">
        <v>3</v>
      </c>
      <c r="U27" s="378"/>
      <c r="V27" s="378"/>
      <c r="W27" s="379"/>
      <c r="X27" s="353"/>
      <c r="Y27" s="353"/>
      <c r="Z27" s="353"/>
      <c r="AA27" s="374"/>
      <c r="AD27" s="378"/>
      <c r="AE27" s="378"/>
      <c r="AF27" s="378"/>
      <c r="AG27" s="378"/>
    </row>
    <row r="28" spans="2:37" ht="18" customHeight="1" x14ac:dyDescent="0.2">
      <c r="D28" s="56" t="s">
        <v>185</v>
      </c>
      <c r="E28" s="19">
        <f>SUM(N4:N18)</f>
        <v>4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97" t="str">
        <f t="shared" si="59"/>
        <v/>
      </c>
      <c r="L28" s="498"/>
      <c r="M28" s="497" t="str">
        <f t="shared" si="58"/>
        <v/>
      </c>
      <c r="N28" s="500"/>
      <c r="P28" s="77">
        <v>7</v>
      </c>
      <c r="Q28" s="66">
        <v>3</v>
      </c>
      <c r="U28" s="378"/>
      <c r="V28" s="378"/>
      <c r="W28" s="379"/>
      <c r="X28" s="353"/>
      <c r="Y28" s="353"/>
      <c r="Z28" s="353"/>
      <c r="AA28" s="374"/>
      <c r="AD28" s="378"/>
      <c r="AE28" s="378"/>
      <c r="AF28" s="378"/>
      <c r="AG28" s="378"/>
    </row>
    <row r="29" spans="2:37" ht="18" customHeight="1" x14ac:dyDescent="0.2">
      <c r="D29" s="56" t="s">
        <v>186</v>
      </c>
      <c r="E29" s="21">
        <f>VLOOKUP(E28,P23:Q33,2,FALSE)</f>
        <v>2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97" t="str">
        <f t="shared" si="59"/>
        <v/>
      </c>
      <c r="L29" s="498"/>
      <c r="M29" s="497" t="str">
        <f t="shared" si="58"/>
        <v/>
      </c>
      <c r="N29" s="500"/>
      <c r="P29" s="77">
        <v>8</v>
      </c>
      <c r="Q29" s="66">
        <v>3</v>
      </c>
      <c r="U29" s="378"/>
      <c r="V29" s="378"/>
      <c r="W29" s="379"/>
      <c r="X29" s="353"/>
      <c r="Y29" s="353"/>
      <c r="Z29" s="353"/>
      <c r="AA29" s="374"/>
    </row>
    <row r="30" spans="2:37" ht="18" customHeight="1" x14ac:dyDescent="0.2">
      <c r="D30" s="56" t="s">
        <v>187</v>
      </c>
      <c r="E30" s="377">
        <f>VLOOKUP(E29,Z4:AC18,4,FALSE)</f>
        <v>1244.3422902972657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97" t="str">
        <f t="shared" si="59"/>
        <v/>
      </c>
      <c r="L30" s="498"/>
      <c r="M30" s="497" t="str">
        <f t="shared" si="58"/>
        <v/>
      </c>
      <c r="N30" s="500"/>
      <c r="P30" s="77">
        <v>9</v>
      </c>
      <c r="Q30" s="66">
        <v>4</v>
      </c>
      <c r="U30" s="378"/>
      <c r="V30" s="378"/>
      <c r="W30" s="379"/>
      <c r="X30" s="353"/>
      <c r="Y30" s="353"/>
      <c r="Z30" s="353"/>
      <c r="AA30" s="374"/>
    </row>
    <row r="31" spans="2:37" ht="18" customHeight="1" x14ac:dyDescent="0.2">
      <c r="D31" s="56" t="s">
        <v>188</v>
      </c>
      <c r="E31" s="377">
        <f>SUM(T4:T18)/E28</f>
        <v>220.89999999999998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97" t="str">
        <f t="shared" si="59"/>
        <v/>
      </c>
      <c r="L31" s="498"/>
      <c r="M31" s="497" t="str">
        <f t="shared" si="58"/>
        <v/>
      </c>
      <c r="N31" s="500"/>
      <c r="P31" s="77">
        <v>10</v>
      </c>
      <c r="Q31" s="66">
        <v>4</v>
      </c>
      <c r="W31" s="348"/>
      <c r="Z31" s="25" t="s">
        <v>189</v>
      </c>
      <c r="AA31" s="374">
        <f>SUM(AA22:AA30)</f>
        <v>3.7610000000000001</v>
      </c>
    </row>
    <row r="32" spans="2:37" ht="18" customHeight="1" x14ac:dyDescent="0.2">
      <c r="D32" s="56" t="s">
        <v>190</v>
      </c>
      <c r="E32" s="377">
        <f>E25+E31</f>
        <v>770.9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97" t="str">
        <f t="shared" si="59"/>
        <v/>
      </c>
      <c r="L32" s="498"/>
      <c r="M32" s="497" t="str">
        <f t="shared" si="58"/>
        <v/>
      </c>
      <c r="N32" s="500"/>
      <c r="P32" s="77">
        <v>11</v>
      </c>
      <c r="Q32" s="66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504" t="str">
        <f t="shared" si="59"/>
        <v/>
      </c>
      <c r="L33" s="506"/>
      <c r="M33" s="504" t="str">
        <f t="shared" si="58"/>
        <v/>
      </c>
      <c r="N33" s="505"/>
      <c r="P33" s="78">
        <v>12</v>
      </c>
      <c r="Q33" s="69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>
        <f>_xlfn.MINIFS(Q4:Q18,Q4:Q18,"&gt;0")</f>
        <v>4408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25" t="s">
        <v>197</v>
      </c>
      <c r="E37" s="28" t="str">
        <f>IF(E22="Yes","Distance","Time")</f>
        <v>Time</v>
      </c>
      <c r="I37" s="65" t="s">
        <v>198</v>
      </c>
      <c r="J37" s="353" t="s">
        <v>199</v>
      </c>
      <c r="K37" s="66">
        <v>600</v>
      </c>
      <c r="T37" s="3"/>
    </row>
    <row r="38" spans="4:36" x14ac:dyDescent="0.2">
      <c r="D38" s="2" t="s">
        <v>200</v>
      </c>
      <c r="I38" s="65" t="s">
        <v>182</v>
      </c>
      <c r="J38" s="100" t="s">
        <v>201</v>
      </c>
      <c r="K38" s="66">
        <v>550</v>
      </c>
    </row>
    <row r="39" spans="4:36" x14ac:dyDescent="0.2">
      <c r="D39" s="2"/>
      <c r="I39" s="67" t="s">
        <v>202</v>
      </c>
      <c r="J39" s="68" t="s">
        <v>203</v>
      </c>
      <c r="K39" s="69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sortState xmlns:xlrd2="http://schemas.microsoft.com/office/spreadsheetml/2017/richdata2" ref="B4:AH19">
    <sortCondition ref="B4:B19"/>
  </sortState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phoneticPr fontId="6" type="noConversion"/>
  <conditionalFormatting sqref="O4:O18">
    <cfRule type="cellIs" dxfId="23" priority="3" operator="equal">
      <formula>1</formula>
    </cfRule>
  </conditionalFormatting>
  <conditionalFormatting sqref="S4:T14 S15 S16:T18">
    <cfRule type="cellIs" dxfId="22" priority="1" operator="equal">
      <formula>"Yes"</formula>
    </cfRule>
  </conditionalFormatting>
  <dataValidations count="2">
    <dataValidation type="list" allowBlank="1" showInputMessage="1" showErrorMessage="1" sqref="J4:J18 S4:S18 E22 E26" xr:uid="{F29449BD-9BB0-4B48-B993-C5D9BECD7146}">
      <formula1>$AN$4:$AN$5</formula1>
    </dataValidation>
    <dataValidation type="list" allowBlank="1" showInputMessage="1" showErrorMessage="1" sqref="E24" xr:uid="{AA79BF04-4A83-459A-8330-A1417DB4FA33}">
      <formula1>$I$37:$I$39</formula1>
    </dataValidation>
  </dataValidations>
  <printOptions horizontalCentered="1"/>
  <pageMargins left="0.7" right="0.7" top="0.75" bottom="0.75" header="0.3" footer="0.3"/>
  <pageSetup paperSize="9" scale="57" fitToWidth="2" orientation="landscape" r:id="rId1"/>
  <ignoredErrors>
    <ignoredError sqref="H12:H18 H4:H5 H7:H10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74691-A2AF-C349-8EEC-853F0665BBC0}">
  <sheetPr>
    <pageSetUpPr fitToPage="1"/>
  </sheetPr>
  <dimension ref="B1:AN45"/>
  <sheetViews>
    <sheetView zoomScale="90" zoomScaleNormal="90" workbookViewId="0">
      <selection activeCell="M10" sqref="M10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236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#1'!AG4</f>
        <v>110.1</v>
      </c>
      <c r="G4" s="87">
        <f>$E$32/($E$25+F4)</f>
        <v>1.162120781189887</v>
      </c>
      <c r="H4" s="132">
        <f>'Race #1'!AH4</f>
        <v>116.1</v>
      </c>
      <c r="I4" s="88">
        <f>$E$32/($E$25+H4)</f>
        <v>1.1504235413188262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 t="shared" ref="AC4:AC18" si="8">X4/$E$21</f>
        <v>0</v>
      </c>
      <c r="AD4" s="85">
        <f t="shared" ref="AD4:AD18" si="9">IF(AC4&gt;0,((X4/$E$21)-$E$30),0)</f>
        <v>0</v>
      </c>
      <c r="AE4" s="85">
        <f>IF(AD4&gt;30,30,IF(AD4&lt;-30,-30,(AD4)))</f>
        <v>0</v>
      </c>
      <c r="AF4" s="90">
        <f t="shared" ref="AF4:AF18" si="10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Handicaps'!O6),'Roster and Starting Handicaps'!P6)</f>
        <v>116.1</v>
      </c>
      <c r="AI4" s="168">
        <f>AB4+'Race #1'!$AI4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#1'!AG5</f>
        <v>87</v>
      </c>
      <c r="G5" s="31">
        <f t="shared" ref="G5:G18" si="11">$E$32/($E$25+F5)</f>
        <v>1.2094664426457713</v>
      </c>
      <c r="H5" s="27">
        <f>'Race #1'!AH5</f>
        <v>107</v>
      </c>
      <c r="I5" s="35">
        <f t="shared" ref="I5:I18" si="12">$E$32/($E$25+H5)</f>
        <v>1.1682580459627807</v>
      </c>
      <c r="J5" s="447" t="str">
        <f t="shared" ref="J5:J18" si="13">IF(M5&gt;0,"Yes","No")</f>
        <v>Yes</v>
      </c>
      <c r="K5" s="36">
        <f t="shared" si="1"/>
        <v>1</v>
      </c>
      <c r="L5" s="139">
        <v>0.70833333333333337</v>
      </c>
      <c r="M5" s="139">
        <v>0.74921296296296291</v>
      </c>
      <c r="N5" s="26">
        <f>IF(W5&gt;0,1,0)</f>
        <v>1</v>
      </c>
      <c r="O5" s="129">
        <f t="shared" si="3"/>
        <v>1</v>
      </c>
      <c r="P5" s="140">
        <f>M5-L5</f>
        <v>4.0879629629629544E-2</v>
      </c>
      <c r="Q5" s="141">
        <f>HOUR(P5)*3600+MINUTE(P5)*60+SECOND(P5)</f>
        <v>3532</v>
      </c>
      <c r="R5" s="142">
        <f t="shared" si="4"/>
        <v>534.46500000000003</v>
      </c>
      <c r="S5" s="38" t="s">
        <v>166</v>
      </c>
      <c r="T5" s="94">
        <f t="shared" ref="T5:T18" si="14">IF(N5=1,IF(S5="No",H5,F5),"")</f>
        <v>107</v>
      </c>
      <c r="U5" s="122">
        <f t="shared" ref="U5:U18" si="15">IF(S5="No",0,((H5-F5)*$E$21))</f>
        <v>0</v>
      </c>
      <c r="V5" s="122">
        <f t="shared" ref="V5:V17" si="16">IF(S5="No",0,(-(I5-G5)*Q5))</f>
        <v>0</v>
      </c>
      <c r="W5" s="141">
        <f t="shared" ref="W5:W18" si="17">Q5-R5+U5</f>
        <v>2997.5349999999999</v>
      </c>
      <c r="X5" s="26">
        <f t="shared" ref="X5:X18" si="18">IF(S5="Yes",Q5*G5,Q5*I5)</f>
        <v>4126.2874183405411</v>
      </c>
      <c r="Y5" s="40">
        <f t="shared" si="5"/>
        <v>1</v>
      </c>
      <c r="Z5" s="40">
        <f t="shared" si="6"/>
        <v>1</v>
      </c>
      <c r="AA5" s="160">
        <f t="shared" si="7"/>
        <v>1</v>
      </c>
      <c r="AB5" s="169">
        <f t="shared" ref="AB5:AB18" si="19">IF($E$22="Yes",IF(Y5=1,5,IF(Y5=2,4,IF(Y5=3,3,IF(Y5=4,2,IF(Y5=5,1,0))))),IF(Z5=1,5,IF(Z5=2,4,IF(Z5=3,3,IF(Z5=4,2,IF(Z5=5,1,0))))))+K5</f>
        <v>6</v>
      </c>
      <c r="AC5" s="26">
        <f t="shared" si="8"/>
        <v>826.08356723534359</v>
      </c>
      <c r="AD5" s="26">
        <f t="shared" si="9"/>
        <v>-57.668620950410855</v>
      </c>
      <c r="AE5" s="26">
        <f>IF(AD5&gt;30,30,IF(AD5&lt;-30,-30,(AD5)))</f>
        <v>-30</v>
      </c>
      <c r="AF5" s="47">
        <f t="shared" si="10"/>
        <v>-3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Handicaps'!O7),'Roster and Starting Handicaps'!P7)</f>
        <v>104</v>
      </c>
      <c r="AI5" s="170">
        <f>AB5+'Race #1'!AI5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>
        <f>'Race #1'!AG6</f>
        <v>54</v>
      </c>
      <c r="G6" s="34">
        <f t="shared" ref="G6" si="20">$E$32/($E$25+F6)</f>
        <v>1.2842087508991618</v>
      </c>
      <c r="H6" s="143">
        <f>'Race #1'!AH6</f>
        <v>65.599999999999994</v>
      </c>
      <c r="I6" s="43">
        <f t="shared" ref="I6" si="21">$E$32/($E$25+H6)</f>
        <v>1.2569051924123027</v>
      </c>
      <c r="J6" s="450" t="str">
        <f t="shared" si="13"/>
        <v>No</v>
      </c>
      <c r="K6" s="44">
        <f t="shared" ref="K6" si="22">IF(J6="Yes",1,0)</f>
        <v>0</v>
      </c>
      <c r="L6" s="139"/>
      <c r="M6" s="139"/>
      <c r="N6" s="32">
        <f>IF(W6&gt;0,1,0)</f>
        <v>0</v>
      </c>
      <c r="O6" s="129" t="str">
        <f t="shared" si="3"/>
        <v/>
      </c>
      <c r="P6" s="144">
        <f>M6-L6</f>
        <v>0</v>
      </c>
      <c r="Q6" s="145">
        <f>HOUR(P6)*3600+MINUTE(P6)*60+SECOND(P6)</f>
        <v>0</v>
      </c>
      <c r="R6" s="146">
        <f t="shared" ref="R6" si="23">IF(M6&gt;0,($H6*$E$21),0)</f>
        <v>0</v>
      </c>
      <c r="S6" s="38" t="s">
        <v>166</v>
      </c>
      <c r="T6" s="95" t="str">
        <f t="shared" ref="T6" si="24">IF(N6=1,IF(S6="No",H6,F6),"")</f>
        <v/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0</v>
      </c>
      <c r="X6" s="32">
        <f t="shared" ref="X6" si="28">IF(S6="Yes",Q6*G6,Q6*I6)</f>
        <v>0</v>
      </c>
      <c r="Y6" s="45" t="str">
        <f t="shared" si="5"/>
        <v/>
      </c>
      <c r="Z6" s="45" t="str">
        <f t="shared" si="6"/>
        <v/>
      </c>
      <c r="AA6" s="160" t="str">
        <f t="shared" ref="AA6" si="29">IF($E$22="Yes",Y6,Z6)</f>
        <v/>
      </c>
      <c r="AB6" s="169">
        <f t="shared" ref="AB6" si="30">IF($E$22="Yes",IF(Y6=1,5,IF(Y6=2,4,IF(Y6=3,3,IF(Y6=4,2,IF(Y6=5,1,0))))),IF(Z6=1,5,IF(Z6=2,4,IF(Z6=3,3,IF(Z6=4,2,IF(Z6=5,1,0))))))+K6</f>
        <v>0</v>
      </c>
      <c r="AC6" s="32">
        <f t="shared" ref="AC6" si="31">X6/$E$21</f>
        <v>0</v>
      </c>
      <c r="AD6" s="32">
        <f t="shared" ref="AD6" si="32">IF(AC6&gt;0,((X6/$E$21)-$E$30),0)</f>
        <v>0</v>
      </c>
      <c r="AE6" s="32">
        <f>IF(AD6&gt;30,30,IF(AD6&lt;-30,-30,(AD6)))</f>
        <v>0</v>
      </c>
      <c r="AF6" s="33">
        <f t="shared" ref="AF6" si="33">AE6*$E$23</f>
        <v>0</v>
      </c>
      <c r="AG6" s="166">
        <f>MIN(MAX(IF(S6="Yes",F6+AF6,F6),'Roster and Starting Handicaps'!M8),'Roster and Starting Handicaps'!N8)</f>
        <v>54</v>
      </c>
      <c r="AH6" s="166">
        <f>MIN(MAX(IF(S6="No",H6+AF6,H6),'Roster and Starting Handicaps'!O8),'Roster and Starting Handicaps'!P8)</f>
        <v>65.599999999999994</v>
      </c>
      <c r="AI6" s="170">
        <f>AB6+'Race #1'!AI6</f>
        <v>0</v>
      </c>
      <c r="AJ6" s="125" t="str">
        <f t="shared" ref="AJ6" si="34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#1'!AG7</f>
        <v>195</v>
      </c>
      <c r="G7" s="31">
        <f t="shared" si="11"/>
        <v>1.015951811822448</v>
      </c>
      <c r="H7" s="201">
        <f>'Race #1'!AH7</f>
        <v>207</v>
      </c>
      <c r="I7" s="35">
        <f t="shared" si="12"/>
        <v>0.99820592864650992</v>
      </c>
      <c r="J7" s="447" t="str">
        <f t="shared" si="13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4"/>
        <v>0</v>
      </c>
      <c r="S7" s="38" t="s">
        <v>166</v>
      </c>
      <c r="T7" s="94" t="str">
        <f t="shared" si="14"/>
        <v/>
      </c>
      <c r="U7" s="122">
        <f t="shared" si="15"/>
        <v>0</v>
      </c>
      <c r="V7" s="122">
        <f t="shared" si="16"/>
        <v>0</v>
      </c>
      <c r="W7" s="141">
        <f t="shared" si="17"/>
        <v>0</v>
      </c>
      <c r="X7" s="26">
        <f t="shared" si="18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9"/>
        <v>0</v>
      </c>
      <c r="AC7" s="26">
        <f t="shared" si="8"/>
        <v>0</v>
      </c>
      <c r="AD7" s="26">
        <f t="shared" si="9"/>
        <v>0</v>
      </c>
      <c r="AE7" s="26">
        <f t="shared" ref="AE7:AE18" si="37">IF(AD7&gt;30,30,IF(AD7&lt;-30,-30,(AD7)))</f>
        <v>0</v>
      </c>
      <c r="AF7" s="47">
        <f t="shared" si="10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Handicaps'!O9),'Roster and Starting Handicaps'!P9)</f>
        <v>207</v>
      </c>
      <c r="AI7" s="170">
        <f>AB7+'Race #1'!AI7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#1'!AG8</f>
        <v>164.2</v>
      </c>
      <c r="G8" s="34">
        <f t="shared" si="11"/>
        <v>1.064525726451649</v>
      </c>
      <c r="H8" s="143">
        <f>'Race #1'!AH8</f>
        <v>179.30483788091419</v>
      </c>
      <c r="I8" s="43">
        <f t="shared" si="12"/>
        <v>1.0401371771884644</v>
      </c>
      <c r="J8" s="450" t="str">
        <f t="shared" si="13"/>
        <v>Yes</v>
      </c>
      <c r="K8" s="44">
        <f t="shared" si="1"/>
        <v>1</v>
      </c>
      <c r="L8" s="139">
        <v>0.70833333333333337</v>
      </c>
      <c r="M8" s="139">
        <v>0.75745370370370368</v>
      </c>
      <c r="N8" s="32">
        <f t="shared" si="2"/>
        <v>1</v>
      </c>
      <c r="O8" s="129">
        <f t="shared" si="3"/>
        <v>2</v>
      </c>
      <c r="P8" s="144">
        <f>M8-L8</f>
        <v>4.9120370370370314E-2</v>
      </c>
      <c r="Q8" s="145">
        <f>HOUR(P8)*3600+MINUTE(P8)*60+SECOND(P8)</f>
        <v>4244</v>
      </c>
      <c r="R8" s="146">
        <f t="shared" si="4"/>
        <v>895.62766521516642</v>
      </c>
      <c r="S8" s="38" t="s">
        <v>166</v>
      </c>
      <c r="T8" s="95">
        <f t="shared" si="14"/>
        <v>179.30483788091419</v>
      </c>
      <c r="U8" s="147">
        <f t="shared" si="15"/>
        <v>0</v>
      </c>
      <c r="V8" s="147">
        <f t="shared" si="16"/>
        <v>0</v>
      </c>
      <c r="W8" s="145">
        <f t="shared" si="17"/>
        <v>3348.3723347848336</v>
      </c>
      <c r="X8" s="32">
        <f t="shared" si="18"/>
        <v>4414.3421799878433</v>
      </c>
      <c r="Y8" s="45">
        <f t="shared" si="5"/>
        <v>2</v>
      </c>
      <c r="Z8" s="45">
        <f t="shared" si="6"/>
        <v>3</v>
      </c>
      <c r="AA8" s="160">
        <f t="shared" si="7"/>
        <v>3</v>
      </c>
      <c r="AB8" s="169">
        <f t="shared" si="19"/>
        <v>4</v>
      </c>
      <c r="AC8" s="32">
        <f t="shared" si="8"/>
        <v>883.75218818575445</v>
      </c>
      <c r="AD8" s="32">
        <f t="shared" si="9"/>
        <v>0</v>
      </c>
      <c r="AE8" s="32">
        <f>IF(AD8&gt;30,30,IF(AD8&lt;-30,-30,(AD8)))</f>
        <v>0</v>
      </c>
      <c r="AF8" s="33">
        <f t="shared" si="10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Handicaps'!O10),'Roster and Starting Handicaps'!P10)</f>
        <v>179.30483788091419</v>
      </c>
      <c r="AI8" s="170">
        <f>AB8+'Race #1'!AI8</f>
        <v>8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#1'!AG9</f>
        <v>194.4</v>
      </c>
      <c r="G9" s="31">
        <f t="shared" si="11"/>
        <v>1.0168556835411511</v>
      </c>
      <c r="H9" s="27">
        <f>'Race #1'!AH9</f>
        <v>206.4</v>
      </c>
      <c r="I9" s="35">
        <f t="shared" si="12"/>
        <v>0.99907848627644569</v>
      </c>
      <c r="J9" s="447" t="str">
        <f t="shared" si="13"/>
        <v>Yes</v>
      </c>
      <c r="K9" s="36">
        <f t="shared" si="1"/>
        <v>1</v>
      </c>
      <c r="L9" s="139">
        <v>0.70833333333333337</v>
      </c>
      <c r="M9" s="139">
        <v>0.76193287037037039</v>
      </c>
      <c r="N9" s="26">
        <f t="shared" si="2"/>
        <v>1</v>
      </c>
      <c r="O9" s="129">
        <f t="shared" si="3"/>
        <v>4</v>
      </c>
      <c r="P9" s="140">
        <f t="shared" si="35"/>
        <v>5.3599537037037015E-2</v>
      </c>
      <c r="Q9" s="141">
        <f t="shared" si="36"/>
        <v>4631</v>
      </c>
      <c r="R9" s="142">
        <f t="shared" si="4"/>
        <v>1030.9680000000001</v>
      </c>
      <c r="S9" s="38" t="s">
        <v>166</v>
      </c>
      <c r="T9" s="94">
        <f t="shared" si="14"/>
        <v>206.4</v>
      </c>
      <c r="U9" s="122">
        <f t="shared" si="15"/>
        <v>0</v>
      </c>
      <c r="V9" s="122">
        <f t="shared" si="16"/>
        <v>0</v>
      </c>
      <c r="W9" s="141">
        <f t="shared" si="17"/>
        <v>3600.0320000000002</v>
      </c>
      <c r="X9" s="26">
        <f t="shared" si="18"/>
        <v>4626.7324699462197</v>
      </c>
      <c r="Y9" s="40">
        <f t="shared" si="5"/>
        <v>5</v>
      </c>
      <c r="Z9" s="40">
        <f t="shared" si="6"/>
        <v>5</v>
      </c>
      <c r="AA9" s="160">
        <f t="shared" si="7"/>
        <v>5</v>
      </c>
      <c r="AB9" s="169">
        <f t="shared" si="19"/>
        <v>2</v>
      </c>
      <c r="AC9" s="26">
        <f t="shared" si="8"/>
        <v>926.2727667559999</v>
      </c>
      <c r="AD9" s="26">
        <f t="shared" si="9"/>
        <v>42.520578570245448</v>
      </c>
      <c r="AE9" s="26">
        <f t="shared" si="37"/>
        <v>30</v>
      </c>
      <c r="AF9" s="47">
        <f t="shared" si="10"/>
        <v>3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Handicaps'!O11),'Roster and Starting Handicaps'!P11)</f>
        <v>209.4</v>
      </c>
      <c r="AI9" s="170">
        <f>AB9+'Race #1'!AI9</f>
        <v>2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#1'!AG10</f>
        <v>162</v>
      </c>
      <c r="G10" s="34">
        <f t="shared" si="11"/>
        <v>1.0681736339254708</v>
      </c>
      <c r="H10" s="143">
        <f>'Race #1'!AH10</f>
        <v>176.1</v>
      </c>
      <c r="I10" s="43">
        <f t="shared" si="12"/>
        <v>1.0452179133975801</v>
      </c>
      <c r="J10" s="450" t="str">
        <f t="shared" si="13"/>
        <v>No</v>
      </c>
      <c r="K10" s="44">
        <f t="shared" si="1"/>
        <v>0</v>
      </c>
      <c r="L10" s="139"/>
      <c r="M10" s="139"/>
      <c r="N10" s="32">
        <f t="shared" si="2"/>
        <v>0</v>
      </c>
      <c r="O10" s="129" t="str">
        <f t="shared" si="3"/>
        <v/>
      </c>
      <c r="P10" s="144">
        <f t="shared" si="35"/>
        <v>0</v>
      </c>
      <c r="Q10" s="145">
        <f t="shared" si="36"/>
        <v>0</v>
      </c>
      <c r="R10" s="146">
        <f t="shared" si="4"/>
        <v>0</v>
      </c>
      <c r="S10" s="38" t="s">
        <v>166</v>
      </c>
      <c r="T10" s="95" t="str">
        <f t="shared" si="14"/>
        <v/>
      </c>
      <c r="U10" s="147">
        <f t="shared" si="15"/>
        <v>0</v>
      </c>
      <c r="V10" s="147">
        <f t="shared" si="16"/>
        <v>0</v>
      </c>
      <c r="W10" s="145">
        <f t="shared" si="17"/>
        <v>0</v>
      </c>
      <c r="X10" s="32">
        <f t="shared" si="18"/>
        <v>0</v>
      </c>
      <c r="Y10" s="45" t="str">
        <f t="shared" si="5"/>
        <v/>
      </c>
      <c r="Z10" s="45" t="str">
        <f t="shared" si="6"/>
        <v/>
      </c>
      <c r="AA10" s="160" t="str">
        <f t="shared" si="7"/>
        <v/>
      </c>
      <c r="AB10" s="169">
        <f t="shared" si="19"/>
        <v>0</v>
      </c>
      <c r="AC10" s="32">
        <f t="shared" si="8"/>
        <v>0</v>
      </c>
      <c r="AD10" s="32">
        <f t="shared" si="9"/>
        <v>0</v>
      </c>
      <c r="AE10" s="32">
        <f t="shared" si="37"/>
        <v>0</v>
      </c>
      <c r="AF10" s="33">
        <f t="shared" si="10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Handicaps'!O12),'Roster and Starting Handicaps'!P12)</f>
        <v>176.1</v>
      </c>
      <c r="AI10" s="170">
        <f>AB10+'Race #1'!AI10</f>
        <v>5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#1'!AG11</f>
        <v>280</v>
      </c>
      <c r="G11" s="31">
        <f t="shared" ref="G11" si="38">$E$32/($E$25+F11)</f>
        <v>0.90232562234230573</v>
      </c>
      <c r="H11" s="27">
        <f>'Race #1'!AH11</f>
        <v>291</v>
      </c>
      <c r="I11" s="35">
        <f t="shared" ref="I11" si="39">$E$32/($E$25+H11)</f>
        <v>0.88945197533093689</v>
      </c>
      <c r="J11" s="447" t="str">
        <f t="shared" si="13"/>
        <v>No</v>
      </c>
      <c r="K11" s="36">
        <f t="shared" si="1"/>
        <v>0</v>
      </c>
      <c r="L11" s="139"/>
      <c r="M11" s="139"/>
      <c r="N11" s="26">
        <f t="shared" ref="N11" si="40">IF(W11&gt;0,1,0)</f>
        <v>0</v>
      </c>
      <c r="O11" s="129" t="str">
        <f t="shared" si="3"/>
        <v/>
      </c>
      <c r="P11" s="140">
        <f t="shared" ref="P11" si="41">M11-L11</f>
        <v>0</v>
      </c>
      <c r="Q11" s="141">
        <f t="shared" ref="Q11" si="42">HOUR(P11)*3600+MINUTE(P11)*60+SECOND(P11)</f>
        <v>0</v>
      </c>
      <c r="R11" s="142">
        <f t="shared" ref="R11" si="43">IF(M11&gt;0,($H11*$E$21),0)</f>
        <v>0</v>
      </c>
      <c r="S11" s="38" t="s">
        <v>166</v>
      </c>
      <c r="T11" s="94" t="str">
        <f t="shared" ref="T11" si="44">IF(N11=1,IF(S11="No",H11,F11),"")</f>
        <v/>
      </c>
      <c r="U11" s="122">
        <f t="shared" ref="U11" si="45">IF(S11="No",0,((H11-F11)*$E$21))</f>
        <v>0</v>
      </c>
      <c r="V11" s="122">
        <f t="shared" si="16"/>
        <v>0</v>
      </c>
      <c r="W11" s="141">
        <f t="shared" ref="W11" si="46">Q11-R11+U11</f>
        <v>0</v>
      </c>
      <c r="X11" s="26">
        <f t="shared" ref="X11" si="47">IF(S11="Yes",Q11*G11,Q11*I11)</f>
        <v>0</v>
      </c>
      <c r="Y11" s="40" t="str">
        <f t="shared" si="5"/>
        <v/>
      </c>
      <c r="Z11" s="40" t="str">
        <f t="shared" si="6"/>
        <v/>
      </c>
      <c r="AA11" s="160" t="str">
        <f t="shared" ref="AA11" si="48">IF($E$22="Yes",Y11,Z11)</f>
        <v/>
      </c>
      <c r="AB11" s="169">
        <f t="shared" ref="AB11" si="49">IF($E$22="Yes",IF(Y11=1,5,IF(Y11=2,4,IF(Y11=3,3,IF(Y11=4,2,IF(Y11=5,1,0))))),IF(Z11=1,5,IF(Z11=2,4,IF(Z11=3,3,IF(Z11=4,2,IF(Z11=5,1,0))))))+K11</f>
        <v>0</v>
      </c>
      <c r="AC11" s="26">
        <f t="shared" ref="AC11" si="50">X11/$E$21</f>
        <v>0</v>
      </c>
      <c r="AD11" s="26">
        <f t="shared" ref="AD11" si="51">IF(AC11&gt;0,((X11/$E$21)-$E$30),0)</f>
        <v>0</v>
      </c>
      <c r="AE11" s="26">
        <f t="shared" ref="AE11" si="52">IF(AD11&gt;30,30,IF(AD11&lt;-30,-30,(AD11)))</f>
        <v>0</v>
      </c>
      <c r="AF11" s="47">
        <f t="shared" ref="AF11" si="53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Handicaps'!O13),'Roster and Starting Handicaps'!P13)</f>
        <v>291</v>
      </c>
      <c r="AI11" s="170">
        <f>AB11+'Race #1'!AI11</f>
        <v>3</v>
      </c>
      <c r="AJ11" s="91" t="str">
        <f t="shared" ref="AJ11" si="54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#1'!AG12</f>
        <v>270</v>
      </c>
      <c r="G12" s="34">
        <f t="shared" si="11"/>
        <v>0.91435663064020312</v>
      </c>
      <c r="H12" s="143">
        <f>'Race #1'!AH12</f>
        <v>276.2</v>
      </c>
      <c r="I12" s="43">
        <f t="shared" si="12"/>
        <v>0.90685992195206599</v>
      </c>
      <c r="J12" s="450" t="str">
        <f t="shared" si="13"/>
        <v>Yes</v>
      </c>
      <c r="K12" s="44">
        <f t="shared" si="1"/>
        <v>1</v>
      </c>
      <c r="L12" s="139">
        <v>0.70833333333333337</v>
      </c>
      <c r="M12" s="139">
        <v>0.765625</v>
      </c>
      <c r="N12" s="32">
        <f t="shared" si="2"/>
        <v>1</v>
      </c>
      <c r="O12" s="129">
        <f t="shared" si="3"/>
        <v>6</v>
      </c>
      <c r="P12" s="144">
        <f t="shared" si="35"/>
        <v>5.729166666666663E-2</v>
      </c>
      <c r="Q12" s="145">
        <f t="shared" si="36"/>
        <v>4950</v>
      </c>
      <c r="R12" s="146">
        <f t="shared" si="4"/>
        <v>1379.6189999999999</v>
      </c>
      <c r="S12" s="38" t="s">
        <v>166</v>
      </c>
      <c r="T12" s="95">
        <f t="shared" si="14"/>
        <v>276.2</v>
      </c>
      <c r="U12" s="147">
        <f t="shared" si="15"/>
        <v>0</v>
      </c>
      <c r="V12" s="147">
        <f t="shared" si="16"/>
        <v>0</v>
      </c>
      <c r="W12" s="145">
        <f t="shared" si="17"/>
        <v>3570.3810000000003</v>
      </c>
      <c r="X12" s="32">
        <f t="shared" si="18"/>
        <v>4488.9566136627263</v>
      </c>
      <c r="Y12" s="45">
        <f t="shared" si="5"/>
        <v>4</v>
      </c>
      <c r="Z12" s="45">
        <f t="shared" si="6"/>
        <v>4</v>
      </c>
      <c r="AA12" s="160">
        <f t="shared" si="7"/>
        <v>4</v>
      </c>
      <c r="AB12" s="169">
        <f t="shared" si="19"/>
        <v>3</v>
      </c>
      <c r="AC12" s="32">
        <f t="shared" si="8"/>
        <v>898.69001274529057</v>
      </c>
      <c r="AD12" s="32">
        <f t="shared" si="9"/>
        <v>14.937824559536125</v>
      </c>
      <c r="AE12" s="32">
        <f t="shared" si="37"/>
        <v>14.937824559536125</v>
      </c>
      <c r="AF12" s="33">
        <f t="shared" si="10"/>
        <v>1.4937824559536126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Handicaps'!O14),'Roster and Starting Handicaps'!P14)</f>
        <v>277.69378245595362</v>
      </c>
      <c r="AI12" s="170">
        <f>AB12+'Race #1'!AI12</f>
        <v>3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#1'!AG13</f>
        <v>218.4</v>
      </c>
      <c r="G13" s="31">
        <f t="shared" si="11"/>
        <v>0.98191218926138657</v>
      </c>
      <c r="H13" s="27">
        <f>'Race #1'!AH13</f>
        <v>227.4</v>
      </c>
      <c r="I13" s="35">
        <f t="shared" si="12"/>
        <v>0.96941966776951138</v>
      </c>
      <c r="J13" s="447" t="str">
        <f t="shared" si="13"/>
        <v>Yes</v>
      </c>
      <c r="K13" s="36">
        <f t="shared" si="1"/>
        <v>1</v>
      </c>
      <c r="L13" s="139">
        <v>0.70833333333333337</v>
      </c>
      <c r="M13" s="139">
        <v>0.76495370370370375</v>
      </c>
      <c r="N13" s="26">
        <f t="shared" si="2"/>
        <v>1</v>
      </c>
      <c r="O13" s="129">
        <f t="shared" si="3"/>
        <v>5</v>
      </c>
      <c r="P13" s="140">
        <f t="shared" si="35"/>
        <v>5.6620370370370376E-2</v>
      </c>
      <c r="Q13" s="141">
        <f t="shared" si="36"/>
        <v>4892</v>
      </c>
      <c r="R13" s="142">
        <f t="shared" si="4"/>
        <v>1135.8630000000001</v>
      </c>
      <c r="S13" s="38" t="s">
        <v>166</v>
      </c>
      <c r="T13" s="94">
        <f t="shared" si="14"/>
        <v>227.4</v>
      </c>
      <c r="U13" s="122">
        <f t="shared" si="15"/>
        <v>0</v>
      </c>
      <c r="V13" s="122">
        <f t="shared" si="16"/>
        <v>0</v>
      </c>
      <c r="W13" s="141">
        <f t="shared" si="17"/>
        <v>3756.1369999999997</v>
      </c>
      <c r="X13" s="26">
        <f t="shared" si="18"/>
        <v>4742.4010147284498</v>
      </c>
      <c r="Y13" s="40">
        <f t="shared" si="5"/>
        <v>6</v>
      </c>
      <c r="Z13" s="40">
        <f t="shared" si="6"/>
        <v>6</v>
      </c>
      <c r="AA13" s="160">
        <f t="shared" si="7"/>
        <v>6</v>
      </c>
      <c r="AB13" s="169">
        <f t="shared" si="19"/>
        <v>1</v>
      </c>
      <c r="AC13" s="26">
        <f t="shared" si="8"/>
        <v>949.42963257826818</v>
      </c>
      <c r="AD13" s="26">
        <f t="shared" si="9"/>
        <v>65.677444392513735</v>
      </c>
      <c r="AE13" s="26">
        <f t="shared" si="37"/>
        <v>30</v>
      </c>
      <c r="AF13" s="47">
        <f t="shared" si="10"/>
        <v>3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Handicaps'!O15),'Roster and Starting Handicaps'!P15)</f>
        <v>230.4</v>
      </c>
      <c r="AI13" s="170">
        <f>AB13+'Race #1'!AI13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#1'!AG14</f>
        <v>235.6</v>
      </c>
      <c r="G14" s="34">
        <f t="shared" si="11"/>
        <v>0.9583111696201122</v>
      </c>
      <c r="H14" s="143">
        <f>'Race #1'!AH14</f>
        <v>238.3</v>
      </c>
      <c r="I14" s="43">
        <f t="shared" si="12"/>
        <v>0.95470899760566941</v>
      </c>
      <c r="J14" s="450" t="str">
        <f t="shared" si="13"/>
        <v>Yes</v>
      </c>
      <c r="K14" s="44">
        <f t="shared" si="1"/>
        <v>1</v>
      </c>
      <c r="L14" s="139">
        <v>0.70833333333333337</v>
      </c>
      <c r="M14" s="139">
        <v>0.76127314814814817</v>
      </c>
      <c r="N14" s="32">
        <f t="shared" si="2"/>
        <v>1</v>
      </c>
      <c r="O14" s="129">
        <f t="shared" si="3"/>
        <v>3</v>
      </c>
      <c r="P14" s="144">
        <f t="shared" si="35"/>
        <v>5.2939814814814801E-2</v>
      </c>
      <c r="Q14" s="145">
        <f>HOUR(P14)*3600+MINUTE(P14)*60+SECOND(P14)</f>
        <v>4574</v>
      </c>
      <c r="R14" s="146">
        <f t="shared" si="4"/>
        <v>1190.3085000000001</v>
      </c>
      <c r="S14" s="38" t="s">
        <v>166</v>
      </c>
      <c r="T14" s="95">
        <f t="shared" si="14"/>
        <v>238.3</v>
      </c>
      <c r="U14" s="147">
        <f t="shared" si="15"/>
        <v>0</v>
      </c>
      <c r="V14" s="147">
        <f t="shared" si="16"/>
        <v>0</v>
      </c>
      <c r="W14" s="145">
        <f t="shared" si="17"/>
        <v>3383.6914999999999</v>
      </c>
      <c r="X14" s="32">
        <f t="shared" si="18"/>
        <v>4366.8389550483316</v>
      </c>
      <c r="Y14" s="45">
        <f t="shared" si="5"/>
        <v>3</v>
      </c>
      <c r="Z14" s="45">
        <f t="shared" si="6"/>
        <v>2</v>
      </c>
      <c r="AA14" s="160">
        <f t="shared" si="7"/>
        <v>2</v>
      </c>
      <c r="AB14" s="169">
        <f t="shared" si="19"/>
        <v>5</v>
      </c>
      <c r="AC14" s="32">
        <f t="shared" si="8"/>
        <v>874.24203304270907</v>
      </c>
      <c r="AD14" s="32">
        <f t="shared" si="9"/>
        <v>-9.510155143045381</v>
      </c>
      <c r="AE14" s="32">
        <f t="shared" si="37"/>
        <v>-9.510155143045381</v>
      </c>
      <c r="AF14" s="33">
        <f t="shared" si="10"/>
        <v>-0.95101551430453812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Handicaps'!O16),'Roster and Starting Handicaps'!P16)</f>
        <v>237.34898448569547</v>
      </c>
      <c r="AI14" s="170">
        <f>AB14+'Race #1'!AI14</f>
        <v>11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#1'!AG15</f>
        <v>98.7</v>
      </c>
      <c r="G15" s="31">
        <f t="shared" si="11"/>
        <v>1.1850137773978784</v>
      </c>
      <c r="H15" s="27">
        <f>'Race #1'!AH15</f>
        <v>112.2</v>
      </c>
      <c r="I15" s="35">
        <f t="shared" si="12"/>
        <v>1.1579997855119086</v>
      </c>
      <c r="J15" s="447" t="str">
        <f t="shared" si="13"/>
        <v>No</v>
      </c>
      <c r="K15" s="36">
        <f t="shared" si="1"/>
        <v>0</v>
      </c>
      <c r="L15" s="139"/>
      <c r="M15" s="139"/>
      <c r="N15" s="26">
        <f t="shared" si="2"/>
        <v>0</v>
      </c>
      <c r="O15" s="129" t="str">
        <f t="shared" si="3"/>
        <v/>
      </c>
      <c r="P15" s="140">
        <f t="shared" si="35"/>
        <v>0</v>
      </c>
      <c r="Q15" s="141">
        <f t="shared" si="36"/>
        <v>0</v>
      </c>
      <c r="R15" s="142">
        <f t="shared" si="4"/>
        <v>0</v>
      </c>
      <c r="S15" s="38" t="s">
        <v>166</v>
      </c>
      <c r="T15" s="408" t="str">
        <f t="shared" si="14"/>
        <v/>
      </c>
      <c r="U15" s="122">
        <f t="shared" si="15"/>
        <v>0</v>
      </c>
      <c r="V15" s="122">
        <f t="shared" si="16"/>
        <v>0</v>
      </c>
      <c r="W15" s="141">
        <f t="shared" si="17"/>
        <v>0</v>
      </c>
      <c r="X15" s="26">
        <f t="shared" si="18"/>
        <v>0</v>
      </c>
      <c r="Y15" s="40" t="str">
        <f t="shared" si="5"/>
        <v/>
      </c>
      <c r="Z15" s="40" t="str">
        <f t="shared" si="6"/>
        <v/>
      </c>
      <c r="AA15" s="160" t="str">
        <f t="shared" si="7"/>
        <v/>
      </c>
      <c r="AB15" s="169">
        <f t="shared" si="19"/>
        <v>0</v>
      </c>
      <c r="AC15" s="26">
        <f t="shared" si="8"/>
        <v>0</v>
      </c>
      <c r="AD15" s="26">
        <f t="shared" si="9"/>
        <v>0</v>
      </c>
      <c r="AE15" s="26">
        <f t="shared" si="37"/>
        <v>0</v>
      </c>
      <c r="AF15" s="47">
        <f t="shared" si="10"/>
        <v>0</v>
      </c>
      <c r="AG15" s="149">
        <f>MIN(MAX(IF(S15="Yes",F15+AF15,F15),'Roster and Starting Handicaps'!M17),'Roster and Starting Handicaps'!N17)</f>
        <v>98.7</v>
      </c>
      <c r="AH15" s="149">
        <f>MIN(MAX(IF(S15="No",H15+AF15,H15),'Roster and Starting Handicaps'!O17),'Roster and Starting Handicaps'!P17)</f>
        <v>112.2</v>
      </c>
      <c r="AI15" s="170">
        <f>AB15+'Race #1'!AI15</f>
        <v>0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#1'!AG16</f>
        <v>157.5</v>
      </c>
      <c r="G16" s="34">
        <f t="shared" si="11"/>
        <v>1.0757136831061214</v>
      </c>
      <c r="H16" s="143">
        <f>'Race #1'!AH16</f>
        <v>163.5</v>
      </c>
      <c r="I16" s="43">
        <f t="shared" si="12"/>
        <v>1.0656837186948753</v>
      </c>
      <c r="J16" s="450" t="str">
        <f t="shared" si="13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5"/>
        <v>0</v>
      </c>
      <c r="Q16" s="145">
        <f t="shared" si="36"/>
        <v>0</v>
      </c>
      <c r="R16" s="146">
        <f t="shared" si="4"/>
        <v>0</v>
      </c>
      <c r="S16" s="38" t="s">
        <v>166</v>
      </c>
      <c r="T16" s="95" t="str">
        <f t="shared" si="14"/>
        <v/>
      </c>
      <c r="U16" s="147">
        <f t="shared" si="15"/>
        <v>0</v>
      </c>
      <c r="V16" s="147">
        <f t="shared" si="16"/>
        <v>0</v>
      </c>
      <c r="W16" s="145">
        <f t="shared" si="17"/>
        <v>0</v>
      </c>
      <c r="X16" s="32">
        <f t="shared" si="18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9"/>
        <v>0</v>
      </c>
      <c r="AC16" s="32">
        <f t="shared" si="8"/>
        <v>0</v>
      </c>
      <c r="AD16" s="32">
        <f t="shared" si="9"/>
        <v>0</v>
      </c>
      <c r="AE16" s="32">
        <f t="shared" si="37"/>
        <v>0</v>
      </c>
      <c r="AF16" s="33">
        <f t="shared" si="10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Handicaps'!O18),'Roster and Starting Handicaps'!P18)</f>
        <v>163.5</v>
      </c>
      <c r="AI16" s="170">
        <f>AB16+'Race #1'!AI16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>
        <f>'Race #1'!AG17</f>
        <v>46</v>
      </c>
      <c r="G17" s="401">
        <f t="shared" si="11"/>
        <v>1.3037404429280461</v>
      </c>
      <c r="H17" s="400">
        <f>'Race #1'!AH17</f>
        <v>57.8</v>
      </c>
      <c r="I17" s="402">
        <f t="shared" si="12"/>
        <v>1.2751347582375463</v>
      </c>
      <c r="J17" s="448" t="str">
        <f t="shared" si="13"/>
        <v>No</v>
      </c>
      <c r="K17" s="403">
        <f t="shared" si="1"/>
        <v>0</v>
      </c>
      <c r="L17" s="150"/>
      <c r="M17" s="150"/>
      <c r="N17" s="404">
        <f t="shared" si="2"/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4"/>
        <v/>
      </c>
      <c r="U17" s="409">
        <f t="shared" si="15"/>
        <v>0</v>
      </c>
      <c r="V17" s="409">
        <f t="shared" si="16"/>
        <v>0</v>
      </c>
      <c r="W17" s="406">
        <f t="shared" si="17"/>
        <v>0</v>
      </c>
      <c r="X17" s="404">
        <f t="shared" si="18"/>
        <v>0</v>
      </c>
      <c r="Y17" s="410" t="str">
        <f t="shared" si="5"/>
        <v/>
      </c>
      <c r="Z17" s="411" t="str">
        <f t="shared" si="6"/>
        <v/>
      </c>
      <c r="AA17" s="161" t="str">
        <f t="shared" si="7"/>
        <v/>
      </c>
      <c r="AB17" s="161">
        <f t="shared" si="19"/>
        <v>0</v>
      </c>
      <c r="AC17" s="404">
        <f t="shared" si="8"/>
        <v>0</v>
      </c>
      <c r="AD17" s="404">
        <f t="shared" si="9"/>
        <v>0</v>
      </c>
      <c r="AE17" s="404">
        <f>IF(AD17&gt;30,30,IF(AD17&lt;-30,-30,(AD17)))</f>
        <v>0</v>
      </c>
      <c r="AF17" s="412">
        <f t="shared" si="10"/>
        <v>0</v>
      </c>
      <c r="AG17" s="413">
        <f>MIN(MAX(IF(S17="Yes",F17+AF17,F17),'Roster and Starting Handicaps'!M19),'Roster and Starting Handicaps'!N19)</f>
        <v>46</v>
      </c>
      <c r="AH17" s="413">
        <f>MIN(MAX(IF(S17="No",H17+AF17,H17),'Roster and Starting Handicaps'!O19),'Roster and Starting Handicaps'!P19)</f>
        <v>57.8</v>
      </c>
      <c r="AI17" s="171">
        <f>AB17+'Race #1'!AI17</f>
        <v>0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#1'!AG18</f>
        <v>194.4</v>
      </c>
      <c r="G18" s="431">
        <f t="shared" si="11"/>
        <v>1.0168556835411511</v>
      </c>
      <c r="H18" s="430">
        <f>'Race #1'!AH18</f>
        <v>207.2</v>
      </c>
      <c r="I18" s="432">
        <f t="shared" si="12"/>
        <v>0.99791541469754408</v>
      </c>
      <c r="J18" s="451" t="str">
        <f t="shared" si="13"/>
        <v>No</v>
      </c>
      <c r="K18" s="433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5"/>
        <v>0</v>
      </c>
      <c r="Q18" s="436">
        <f t="shared" si="36"/>
        <v>0</v>
      </c>
      <c r="R18" s="437">
        <f t="shared" si="4"/>
        <v>0</v>
      </c>
      <c r="S18" s="39" t="s">
        <v>166</v>
      </c>
      <c r="T18" s="438" t="str">
        <f t="shared" si="14"/>
        <v/>
      </c>
      <c r="U18" s="439">
        <f t="shared" si="15"/>
        <v>0</v>
      </c>
      <c r="V18" s="439">
        <f>IF(S18="No",0,(-(I18-G18)*Q18))</f>
        <v>0</v>
      </c>
      <c r="W18" s="436">
        <f t="shared" si="17"/>
        <v>0</v>
      </c>
      <c r="X18" s="434">
        <f t="shared" si="18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9"/>
        <v>0</v>
      </c>
      <c r="AC18" s="434">
        <f t="shared" si="8"/>
        <v>0</v>
      </c>
      <c r="AD18" s="434">
        <f t="shared" si="9"/>
        <v>0</v>
      </c>
      <c r="AE18" s="434">
        <f t="shared" si="37"/>
        <v>0</v>
      </c>
      <c r="AF18" s="441">
        <f t="shared" si="10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Handicaps'!O20),'Roster and Starting Handicaps'!P20)</f>
        <v>207.2</v>
      </c>
      <c r="AI18" s="173">
        <f>AB18+'Race #1'!AI18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f>AA31</f>
        <v>4.9950000000000001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str">
        <f>IF($E$28&gt;0,VLOOKUP(1,$AA$4:$AJ$18,10,FALSE),"")</f>
        <v>Exit Strategy</v>
      </c>
      <c r="J22" s="348"/>
      <c r="K22" s="463" cm="1">
        <f t="array" ref="K22">IFERROR(VLOOKUP(I22,$B$4:$X$18,23,0)-_xlfn.MINIFS($X$4:$X$18,$X$4:$X$18,"&gt;0"),"")</f>
        <v>0</v>
      </c>
      <c r="L22" s="464"/>
      <c r="M22" s="463">
        <f>IFERROR(VLOOKUP(I22,$B$4:$W$18,22,0)-_xlfn.MINIFS($W$4:$W$18,$W$4:$W$18,"&gt;0"),"")</f>
        <v>0</v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>Second Place</v>
      </c>
      <c r="H23" s="453"/>
      <c r="I23" s="458" t="str">
        <f>IF($E$28&gt;1,VLOOKUP(2,$AA$4:$AJ$18,10,FALSE),"")</f>
        <v>Outrageous</v>
      </c>
      <c r="J23" s="459"/>
      <c r="K23" s="463">
        <f>IFERROR(VLOOKUP(I23,$B$4:$X$18,23,0)-_xlfn.MINIFS($X$4:$X$18,$X$4:$X$18,"&gt;0"),"")</f>
        <v>240.55153670779055</v>
      </c>
      <c r="L23" s="464"/>
      <c r="M23" s="463">
        <f t="shared" ref="M23:M33" si="55">IFERROR(VLOOKUP(I23,$B$4:$W$18,22,0)-_xlfn.MINIFS($W$4:$W$18,$W$4:$W$18,"&gt;0"),"")</f>
        <v>386.15650000000005</v>
      </c>
      <c r="N23" s="467"/>
      <c r="P23" s="80">
        <v>2</v>
      </c>
      <c r="Q23" s="81">
        <v>1</v>
      </c>
      <c r="U23" s="380" t="s">
        <v>180</v>
      </c>
      <c r="V23" s="380"/>
      <c r="W23" s="381" t="s">
        <v>205</v>
      </c>
      <c r="X23" s="71"/>
      <c r="Y23" s="71"/>
      <c r="Z23" s="71"/>
      <c r="AA23" s="380">
        <v>1.5209999999999999</v>
      </c>
      <c r="AD23" s="380" t="s">
        <v>238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202</v>
      </c>
      <c r="G24" s="452" t="str">
        <f>IF(E28&gt;2,"Third Place","")</f>
        <v>Third Place</v>
      </c>
      <c r="H24" s="453"/>
      <c r="I24" s="458" t="str">
        <f>IF($E$28&gt;2,VLOOKUP(3,$AA$4:$AJ$18,10,FALSE),"")</f>
        <v>Feng Shui</v>
      </c>
      <c r="J24" s="459"/>
      <c r="K24" s="463">
        <f t="shared" ref="K24:K33" si="56">IFERROR(VLOOKUP(I24,$B$4:$X$18,23,0)-_xlfn.MINIFS($X$4:$X$18,$X$4:$X$18,"&gt;0"),"")</f>
        <v>288.05476164730226</v>
      </c>
      <c r="L24" s="464"/>
      <c r="M24" s="463">
        <f t="shared" si="55"/>
        <v>350.83733478483373</v>
      </c>
      <c r="N24" s="467"/>
      <c r="P24" s="82">
        <v>3</v>
      </c>
      <c r="Q24" s="72">
        <v>2</v>
      </c>
      <c r="U24" s="380" t="s">
        <v>205</v>
      </c>
      <c r="V24" s="380"/>
      <c r="W24" s="381" t="s">
        <v>206</v>
      </c>
      <c r="X24" s="71"/>
      <c r="Y24" s="71"/>
      <c r="Z24" s="71"/>
      <c r="AA24" s="380">
        <v>1.6359999999999999</v>
      </c>
      <c r="AD24" s="380"/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480</v>
      </c>
      <c r="G25" s="452" t="str">
        <f>IF(E28&gt;3,"Fourth Place","")</f>
        <v>Fourth Place</v>
      </c>
      <c r="H25" s="453"/>
      <c r="I25" s="458" t="str">
        <f>IF($E$28&gt;3,VLOOKUP(4,$AA$4:$AJ$18,10,FALSE),"")</f>
        <v>MacGuffin</v>
      </c>
      <c r="J25" s="459"/>
      <c r="K25" s="463">
        <f t="shared" si="56"/>
        <v>362.66919532218526</v>
      </c>
      <c r="L25" s="464"/>
      <c r="M25" s="463">
        <f t="shared" si="55"/>
        <v>572.84600000000046</v>
      </c>
      <c r="N25" s="467"/>
      <c r="P25" s="82">
        <v>4</v>
      </c>
      <c r="Q25" s="72">
        <v>2</v>
      </c>
      <c r="U25" s="380" t="s">
        <v>206</v>
      </c>
      <c r="V25" s="380"/>
      <c r="W25" s="381" t="s">
        <v>180</v>
      </c>
      <c r="X25" s="71"/>
      <c r="Y25" s="71"/>
      <c r="Z25" s="71"/>
      <c r="AA25" s="380">
        <v>1.8380000000000001</v>
      </c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>Fifth Place</v>
      </c>
      <c r="H26" s="453"/>
      <c r="I26" s="458" t="str">
        <f>IF($E$28&gt;4,VLOOKUP(5,$AA$4:$AJ$18,10,FALSE),"")</f>
        <v>Grin</v>
      </c>
      <c r="J26" s="459"/>
      <c r="K26" s="463">
        <f t="shared" si="56"/>
        <v>500.4450516056786</v>
      </c>
      <c r="L26" s="464"/>
      <c r="M26" s="463">
        <f t="shared" si="55"/>
        <v>602.4970000000003</v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0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6</v>
      </c>
      <c r="G27" s="452" t="str">
        <f>IF($E$28&gt;5,"Sixth Place","")</f>
        <v>Sixth Place</v>
      </c>
      <c r="H27" s="453"/>
      <c r="I27" s="458" t="str">
        <f>IF($E$28&gt;5,VLOOKUP(6,$AA$4:$AJ$18,10,FALSE),"")</f>
        <v>Mirabelle</v>
      </c>
      <c r="J27" s="459"/>
      <c r="K27" s="463">
        <f t="shared" si="56"/>
        <v>616.11359638790873</v>
      </c>
      <c r="L27" s="464"/>
      <c r="M27" s="463">
        <f t="shared" si="55"/>
        <v>758.60199999999986</v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6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63" t="str">
        <f t="shared" si="56"/>
        <v/>
      </c>
      <c r="L28" s="464"/>
      <c r="M28" s="463" t="str">
        <f t="shared" si="55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>
        <f>VLOOKUP(E28,P23:Q33,2,FALSE)</f>
        <v>3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63" t="str">
        <f t="shared" si="56"/>
        <v/>
      </c>
      <c r="L29" s="464"/>
      <c r="M29" s="463" t="str">
        <f t="shared" si="55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>
        <f>VLOOKUP(E29,Z4:AC18,4,FALSE)</f>
        <v>883.75218818575445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205.76747298015235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f>SUM(AA22:AA30)</f>
        <v>4.9950000000000001</v>
      </c>
    </row>
    <row r="32" spans="2:37" ht="18" customHeight="1" x14ac:dyDescent="0.2">
      <c r="D32" s="56" t="s">
        <v>190</v>
      </c>
      <c r="E32" s="377">
        <f>E25+E31</f>
        <v>685.76747298015232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>
        <f>_xlfn.MINIFS(Q4:Q18,Q4:Q18,"&gt;0")</f>
        <v>3532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21" priority="3" operator="equal">
      <formula>1</formula>
    </cfRule>
  </conditionalFormatting>
  <conditionalFormatting sqref="S4:T14 S15 S16:T18">
    <cfRule type="cellIs" dxfId="20" priority="1" operator="equal">
      <formula>"Yes"</formula>
    </cfRule>
  </conditionalFormatting>
  <dataValidations count="2">
    <dataValidation type="list" allowBlank="1" showInputMessage="1" showErrorMessage="1" sqref="J4:J18 S4:S18 E26 E22" xr:uid="{C525DD1D-BC11-C140-B83B-D862B680795A}">
      <formula1>$AN$4:$AN$5</formula1>
    </dataValidation>
    <dataValidation type="list" allowBlank="1" showInputMessage="1" showErrorMessage="1" sqref="E24" xr:uid="{8730B8A3-82A8-4C1D-A088-9A73F5E65CF6}">
      <formula1>$I$37:$I$39</formula1>
    </dataValidation>
  </dataValidations>
  <printOptions horizontalCentered="1"/>
  <pageMargins left="0.7" right="0.7" top="0.75" bottom="0.75" header="0.3" footer="0.3"/>
  <pageSetup paperSize="9" scale="57" fitToWidth="2" orientation="landscape" r:id="rId1"/>
  <ignoredErrors>
    <ignoredError sqref="H12:H18 H4:H5 H7:H10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AB235-416B-6146-89ED-4F58850F1A7D}">
  <sheetPr>
    <pageSetUpPr fitToPage="1"/>
  </sheetPr>
  <dimension ref="B1:AN45"/>
  <sheetViews>
    <sheetView zoomScale="80" zoomScaleNormal="80" workbookViewId="0">
      <selection activeCell="B4" sqref="B4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241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#2'!AG4</f>
        <v>110.1</v>
      </c>
      <c r="G4" s="87">
        <f>$E$32/($E$25+F4)</f>
        <v>1.1151858197476698</v>
      </c>
      <c r="H4" s="132">
        <f>'Race #2'!AH4</f>
        <v>116.1</v>
      </c>
      <c r="I4" s="88">
        <f>$E$32/($E$25+H4)</f>
        <v>1.1058419921838016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>X4/$E$21</f>
        <v>0</v>
      </c>
      <c r="AD4" s="85">
        <f t="shared" ref="AD4:AD18" si="8">IF(AC4&gt;0,((X4/$E$21)-$E$30),0)</f>
        <v>0</v>
      </c>
      <c r="AE4" s="85">
        <f>IF(AD4&gt;30,30,IF(AD4&lt;-30,-30,(AD4)))</f>
        <v>0</v>
      </c>
      <c r="AF4" s="90">
        <f t="shared" ref="AF4:AF18" si="9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#2'!$AI4</f>
        <v>0</v>
      </c>
      <c r="AJ4" s="176" t="str">
        <f t="shared" si="0"/>
        <v>Asylum</v>
      </c>
      <c r="AK4" s="50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#2'!AG5</f>
        <v>87</v>
      </c>
      <c r="G5" s="31">
        <f t="shared" ref="G5:G18" si="10">$E$32/($E$25+F5)</f>
        <v>1.1526833342108012</v>
      </c>
      <c r="H5" s="27">
        <f>'Race #2'!AH5</f>
        <v>104</v>
      </c>
      <c r="I5" s="35">
        <f t="shared" ref="I5:I18" si="11">$E$32/($E$25+H5)</f>
        <v>1.1248486514244609</v>
      </c>
      <c r="J5" s="447" t="str">
        <f t="shared" ref="J5:J18" si="12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3"/>
        <v/>
      </c>
      <c r="P5" s="140">
        <f>M5-L5</f>
        <v>0</v>
      </c>
      <c r="Q5" s="141">
        <f>HOUR(P5)*3600+MINUTE(P5)*60+SECOND(P5)</f>
        <v>0</v>
      </c>
      <c r="R5" s="142">
        <f t="shared" si="4"/>
        <v>0</v>
      </c>
      <c r="S5" s="38" t="s">
        <v>166</v>
      </c>
      <c r="T5" s="94" t="str">
        <f t="shared" ref="T5:T18" si="13">IF(N5=1,IF(S5="No",H5,F5),"")</f>
        <v/>
      </c>
      <c r="U5" s="122">
        <f t="shared" ref="U5:U18" si="14">IF(S5="No",0,((H5-F5)*$E$21))</f>
        <v>0</v>
      </c>
      <c r="V5" s="122">
        <f t="shared" ref="V5:V17" si="15">IF(S5="No",0,(-(I5-G5)*Q5))</f>
        <v>0</v>
      </c>
      <c r="W5" s="141">
        <f t="shared" ref="W5:W18" si="16">Q5-R5+U5</f>
        <v>0</v>
      </c>
      <c r="X5" s="26">
        <f t="shared" ref="X5:X18" si="17">IF(S5="Yes",Q5*G5,Q5*I5)</f>
        <v>0</v>
      </c>
      <c r="Y5" s="40" t="str">
        <f t="shared" si="5"/>
        <v/>
      </c>
      <c r="Z5" s="40" t="str">
        <f t="shared" si="6"/>
        <v/>
      </c>
      <c r="AA5" s="160" t="str">
        <f t="shared" si="7"/>
        <v/>
      </c>
      <c r="AB5" s="169">
        <f t="shared" ref="AB5:AB18" si="18">IF($E$22="Yes",IF(Y5=1,5,IF(Y5=2,4,IF(Y5=3,3,IF(Y5=4,2,IF(Y5=5,1,0))))),IF(Z5=1,5,IF(Z5=2,4,IF(Z5=3,3,IF(Z5=4,2,IF(Z5=5,1,0))))))+K5</f>
        <v>0</v>
      </c>
      <c r="AC5" s="26">
        <f t="shared" ref="AC5:AC18" si="19">X5/$E$21</f>
        <v>0</v>
      </c>
      <c r="AD5" s="26">
        <f t="shared" si="8"/>
        <v>0</v>
      </c>
      <c r="AE5" s="26">
        <f>IF(AD5&gt;30,30,IF(AD5&lt;-30,-30,(AD5)))</f>
        <v>0</v>
      </c>
      <c r="AF5" s="47">
        <f t="shared" si="9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#2'!$AI5</f>
        <v>6</v>
      </c>
      <c r="AJ5" s="92" t="str">
        <f t="shared" si="0"/>
        <v>Exit Strategy</v>
      </c>
      <c r="AK5" s="50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>
        <f>'Race #2'!AG6</f>
        <v>54</v>
      </c>
      <c r="G6" s="34">
        <f t="shared" ref="G6" si="20">$E$32/($E$25+F6)</f>
        <v>1.2108462547443737</v>
      </c>
      <c r="H6" s="143">
        <f>'Race #2'!AH6</f>
        <v>65.599999999999994</v>
      </c>
      <c r="I6" s="43">
        <f t="shared" ref="I6" si="21">$E$32/($E$25+H6)</f>
        <v>1.1897437659297181</v>
      </c>
      <c r="J6" s="450" t="str">
        <f t="shared" si="12"/>
        <v>Yes</v>
      </c>
      <c r="K6" s="44">
        <f t="shared" ref="K6" si="22">IF(J6="Yes",1,0)</f>
        <v>1</v>
      </c>
      <c r="L6" s="139">
        <v>0.72916666666666663</v>
      </c>
      <c r="M6" s="139">
        <v>0.77660879629629631</v>
      </c>
      <c r="N6" s="32">
        <f>IF(W6&gt;0,1,0)</f>
        <v>1</v>
      </c>
      <c r="O6" s="129">
        <f t="shared" si="3"/>
        <v>4</v>
      </c>
      <c r="P6" s="144">
        <f>M6-L6</f>
        <v>4.7442129629629681E-2</v>
      </c>
      <c r="Q6" s="145">
        <f>HOUR(P6)*3600+MINUTE(P6)*60+SECOND(P6)</f>
        <v>4099</v>
      </c>
      <c r="R6" s="146">
        <f t="shared" ref="R6" si="23">IF(M6&gt;0,($H6*$E$21),0)</f>
        <v>133.95519999999996</v>
      </c>
      <c r="S6" s="38" t="s">
        <v>166</v>
      </c>
      <c r="T6" s="95">
        <f t="shared" ref="T6" si="24">IF(N6=1,IF(S6="No",H6,F6),"")</f>
        <v>65.599999999999994</v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3965.0448000000001</v>
      </c>
      <c r="X6" s="32">
        <f t="shared" ref="X6" si="28">IF(S6="Yes",Q6*G6,Q6*I6)</f>
        <v>4876.7596965459143</v>
      </c>
      <c r="Y6" s="45">
        <f t="shared" si="5"/>
        <v>8</v>
      </c>
      <c r="Z6" s="45">
        <f t="shared" si="6"/>
        <v>8</v>
      </c>
      <c r="AA6" s="160">
        <f t="shared" ref="AA6" si="29">IF($E$22="Yes",Y6,Z6)</f>
        <v>8</v>
      </c>
      <c r="AB6" s="169">
        <f t="shared" ref="AB6" si="30">IF($E$22="Yes",IF(Y6=1,5,IF(Y6=2,4,IF(Y6=3,3,IF(Y6=4,2,IF(Y6=5,1,0))))),IF(Z6=1,5,IF(Z6=2,4,IF(Z6=3,3,IF(Z6=4,2,IF(Z6=5,1,0))))))+K6</f>
        <v>1</v>
      </c>
      <c r="AC6" s="32">
        <f t="shared" ref="AC6" si="31">X6/$E$21</f>
        <v>2388.2270796013295</v>
      </c>
      <c r="AD6" s="32">
        <f t="shared" ref="AD6" si="32">IF(AC6&gt;0,((X6/$E$21)-$E$30),0)</f>
        <v>396.03000371112944</v>
      </c>
      <c r="AE6" s="32">
        <f>IF(AD6&gt;30,30,IF(AD6&lt;-30,-30,(AD6)))</f>
        <v>30</v>
      </c>
      <c r="AF6" s="33">
        <f t="shared" ref="AF6" si="33">AE6*$E$23</f>
        <v>3</v>
      </c>
      <c r="AG6" s="166">
        <f>MIN(MAX(IF(S6="Yes",F6+AF6,F6),'Roster and Starting Handicaps'!M8),'Roster and Starting Handicaps'!N8)</f>
        <v>54</v>
      </c>
      <c r="AH6" s="166">
        <f>MIN(MAX(IF(S6="No",H6+AF6,H6),'Roster and Starting Handicaps'!O8,'Roster and Starting Handicaps'!P8))</f>
        <v>78.719999999999985</v>
      </c>
      <c r="AI6" s="170">
        <f>AB6+'Race #2'!$AI6</f>
        <v>1</v>
      </c>
      <c r="AJ6" s="126" t="str">
        <f t="shared" ref="AJ6" si="34">B6</f>
        <v>Cheerio</v>
      </c>
      <c r="AK6" s="50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#2'!AG7</f>
        <v>195</v>
      </c>
      <c r="G7" s="31">
        <f t="shared" si="10"/>
        <v>0.99609239069537159</v>
      </c>
      <c r="H7" s="27">
        <f>'Race #2'!AH7</f>
        <v>207</v>
      </c>
      <c r="I7" s="35">
        <f t="shared" si="11"/>
        <v>0.9812806079341021</v>
      </c>
      <c r="J7" s="447" t="str">
        <f t="shared" si="12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4"/>
        <v>0</v>
      </c>
      <c r="S7" s="38" t="s">
        <v>166</v>
      </c>
      <c r="T7" s="94" t="str">
        <f t="shared" si="13"/>
        <v/>
      </c>
      <c r="U7" s="122">
        <f t="shared" si="14"/>
        <v>0</v>
      </c>
      <c r="V7" s="122">
        <f t="shared" si="15"/>
        <v>0</v>
      </c>
      <c r="W7" s="141">
        <f t="shared" si="16"/>
        <v>0</v>
      </c>
      <c r="X7" s="26">
        <f t="shared" si="17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8"/>
        <v>0</v>
      </c>
      <c r="AC7" s="26">
        <f t="shared" si="19"/>
        <v>0</v>
      </c>
      <c r="AD7" s="26">
        <f t="shared" si="8"/>
        <v>0</v>
      </c>
      <c r="AE7" s="26">
        <f t="shared" ref="AE7:AE18" si="37">IF(AD7&gt;30,30,IF(AD7&lt;-30,-30,(AD7)))</f>
        <v>0</v>
      </c>
      <c r="AF7" s="47">
        <f t="shared" si="9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#2'!$AI7</f>
        <v>0</v>
      </c>
      <c r="AJ7" s="92" t="str">
        <f t="shared" si="0"/>
        <v>Magoo</v>
      </c>
      <c r="AK7" s="50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#2'!AG8</f>
        <v>164.2</v>
      </c>
      <c r="G8" s="34">
        <f t="shared" si="10"/>
        <v>1.0362384854786972</v>
      </c>
      <c r="H8" s="143">
        <f>'Race #2'!AH8</f>
        <v>179.30483788091419</v>
      </c>
      <c r="I8" s="43">
        <f t="shared" si="11"/>
        <v>1.0161536437475958</v>
      </c>
      <c r="J8" s="450" t="str">
        <f t="shared" si="12"/>
        <v>Yes</v>
      </c>
      <c r="K8" s="44">
        <f t="shared" si="1"/>
        <v>1</v>
      </c>
      <c r="L8" s="139">
        <v>0.72916666666666663</v>
      </c>
      <c r="M8" s="139">
        <v>0.77613425925925927</v>
      </c>
      <c r="N8" s="32">
        <f>IF(W8&gt;0,1,0)</f>
        <v>1</v>
      </c>
      <c r="O8" s="129">
        <f t="shared" si="3"/>
        <v>3</v>
      </c>
      <c r="P8" s="144">
        <f>M8-L8</f>
        <v>4.6967592592592644E-2</v>
      </c>
      <c r="Q8" s="145">
        <f>HOUR(P8)*3600+MINUTE(P8)*60+SECOND(P8)</f>
        <v>4058</v>
      </c>
      <c r="R8" s="146">
        <f t="shared" si="4"/>
        <v>366.14047895282675</v>
      </c>
      <c r="S8" s="38" t="s">
        <v>166</v>
      </c>
      <c r="T8" s="95">
        <f t="shared" si="13"/>
        <v>179.30483788091419</v>
      </c>
      <c r="U8" s="147">
        <f t="shared" si="14"/>
        <v>0</v>
      </c>
      <c r="V8" s="147">
        <f t="shared" si="15"/>
        <v>0</v>
      </c>
      <c r="W8" s="145">
        <f t="shared" si="16"/>
        <v>3691.8595210471731</v>
      </c>
      <c r="X8" s="32">
        <f t="shared" si="17"/>
        <v>4123.551486327744</v>
      </c>
      <c r="Y8" s="45">
        <f t="shared" si="5"/>
        <v>4</v>
      </c>
      <c r="Z8" s="45">
        <f t="shared" si="6"/>
        <v>5</v>
      </c>
      <c r="AA8" s="160">
        <f t="shared" si="7"/>
        <v>5</v>
      </c>
      <c r="AB8" s="169">
        <f t="shared" si="18"/>
        <v>2</v>
      </c>
      <c r="AC8" s="32">
        <f t="shared" si="19"/>
        <v>2019.3689942839101</v>
      </c>
      <c r="AD8" s="32">
        <f t="shared" si="8"/>
        <v>27.17191839371003</v>
      </c>
      <c r="AE8" s="32">
        <f>IF(AD8&gt;30,30,IF(AD8&lt;-30,-30,(AD8)))</f>
        <v>27.17191839371003</v>
      </c>
      <c r="AF8" s="33">
        <f t="shared" si="9"/>
        <v>2.7171918393710031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#2'!$AI8</f>
        <v>10</v>
      </c>
      <c r="AJ8" s="126" t="str">
        <f t="shared" si="0"/>
        <v>Feng Shui</v>
      </c>
      <c r="AK8" s="50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#2'!AG9</f>
        <v>194.4</v>
      </c>
      <c r="G9" s="31">
        <f t="shared" si="10"/>
        <v>0.99684472633789079</v>
      </c>
      <c r="H9" s="27">
        <f>'Race #2'!AH9</f>
        <v>209.4</v>
      </c>
      <c r="I9" s="35">
        <f t="shared" si="11"/>
        <v>0.9783709545377075</v>
      </c>
      <c r="J9" s="447" t="str">
        <f t="shared" si="12"/>
        <v>Yes</v>
      </c>
      <c r="K9" s="36">
        <f t="shared" si="1"/>
        <v>1</v>
      </c>
      <c r="L9" s="139">
        <v>0.72916666666666663</v>
      </c>
      <c r="M9" s="139">
        <v>0.77729166666666671</v>
      </c>
      <c r="N9" s="26">
        <f t="shared" si="2"/>
        <v>1</v>
      </c>
      <c r="O9" s="129">
        <f t="shared" si="3"/>
        <v>5</v>
      </c>
      <c r="P9" s="140">
        <f t="shared" si="35"/>
        <v>4.8125000000000084E-2</v>
      </c>
      <c r="Q9" s="141">
        <f t="shared" si="36"/>
        <v>4158</v>
      </c>
      <c r="R9" s="142">
        <f t="shared" si="4"/>
        <v>427.59479999999996</v>
      </c>
      <c r="S9" s="38" t="s">
        <v>166</v>
      </c>
      <c r="T9" s="94">
        <f t="shared" si="13"/>
        <v>209.4</v>
      </c>
      <c r="U9" s="122">
        <f t="shared" si="14"/>
        <v>0</v>
      </c>
      <c r="V9" s="122">
        <f t="shared" si="15"/>
        <v>0</v>
      </c>
      <c r="W9" s="141">
        <f t="shared" si="16"/>
        <v>3730.4052000000001</v>
      </c>
      <c r="X9" s="26">
        <f t="shared" si="17"/>
        <v>4068.0664289677879</v>
      </c>
      <c r="Y9" s="40">
        <f t="shared" si="5"/>
        <v>5</v>
      </c>
      <c r="Z9" s="40">
        <f t="shared" si="6"/>
        <v>3</v>
      </c>
      <c r="AA9" s="160">
        <f t="shared" si="7"/>
        <v>3</v>
      </c>
      <c r="AB9" s="169">
        <f t="shared" si="18"/>
        <v>4</v>
      </c>
      <c r="AC9" s="26">
        <f t="shared" si="19"/>
        <v>1992.1970758902</v>
      </c>
      <c r="AD9" s="26">
        <f t="shared" si="8"/>
        <v>0</v>
      </c>
      <c r="AE9" s="26">
        <f t="shared" si="37"/>
        <v>0</v>
      </c>
      <c r="AF9" s="47">
        <f t="shared" si="9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212.4</v>
      </c>
      <c r="AI9" s="170">
        <f>AB9+'Race #2'!$AI9</f>
        <v>6</v>
      </c>
      <c r="AJ9" s="92" t="str">
        <f t="shared" si="0"/>
        <v>Grin</v>
      </c>
      <c r="AK9" s="50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#2'!AG10</f>
        <v>162</v>
      </c>
      <c r="G10" s="34">
        <f t="shared" si="10"/>
        <v>1.0392302501349349</v>
      </c>
      <c r="H10" s="143">
        <f>'Race #2'!AH10</f>
        <v>176.1</v>
      </c>
      <c r="I10" s="43">
        <f t="shared" si="11"/>
        <v>1.0203497624053863</v>
      </c>
      <c r="J10" s="450" t="str">
        <f t="shared" si="12"/>
        <v>Yes</v>
      </c>
      <c r="K10" s="44">
        <f t="shared" si="1"/>
        <v>1</v>
      </c>
      <c r="L10" s="139">
        <v>0.72916666666666663</v>
      </c>
      <c r="M10" s="139">
        <v>0.77569444444444446</v>
      </c>
      <c r="N10" s="32">
        <f t="shared" si="2"/>
        <v>1</v>
      </c>
      <c r="O10" s="129">
        <f t="shared" si="3"/>
        <v>2</v>
      </c>
      <c r="P10" s="144">
        <f t="shared" si="35"/>
        <v>4.6527777777777835E-2</v>
      </c>
      <c r="Q10" s="145">
        <f t="shared" si="36"/>
        <v>4020</v>
      </c>
      <c r="R10" s="146">
        <f t="shared" si="4"/>
        <v>359.59619999999995</v>
      </c>
      <c r="S10" s="38" t="s">
        <v>166</v>
      </c>
      <c r="T10" s="95">
        <f t="shared" si="13"/>
        <v>176.1</v>
      </c>
      <c r="U10" s="147">
        <f t="shared" si="14"/>
        <v>0</v>
      </c>
      <c r="V10" s="147">
        <f t="shared" si="15"/>
        <v>0</v>
      </c>
      <c r="W10" s="145">
        <f t="shared" si="16"/>
        <v>3660.4038</v>
      </c>
      <c r="X10" s="32">
        <f t="shared" si="17"/>
        <v>4101.8060448696533</v>
      </c>
      <c r="Y10" s="45">
        <f t="shared" si="5"/>
        <v>3</v>
      </c>
      <c r="Z10" s="45">
        <f t="shared" si="6"/>
        <v>4</v>
      </c>
      <c r="AA10" s="160">
        <f t="shared" si="7"/>
        <v>4</v>
      </c>
      <c r="AB10" s="169">
        <f t="shared" si="18"/>
        <v>3</v>
      </c>
      <c r="AC10" s="32">
        <f t="shared" si="19"/>
        <v>2008.7199044415543</v>
      </c>
      <c r="AD10" s="32">
        <f t="shared" si="8"/>
        <v>16.522828551354223</v>
      </c>
      <c r="AE10" s="32">
        <f t="shared" si="37"/>
        <v>16.522828551354223</v>
      </c>
      <c r="AF10" s="33">
        <f t="shared" si="9"/>
        <v>1.6522828551354225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#2'!$AI10</f>
        <v>8</v>
      </c>
      <c r="AJ10" s="126" t="str">
        <f t="shared" si="0"/>
        <v>KristinB II</v>
      </c>
      <c r="AK10" s="50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#2'!AG11</f>
        <v>280</v>
      </c>
      <c r="G11" s="31">
        <f t="shared" ref="G11" si="38">$E$32/($E$25+F11)</f>
        <v>0.89987892113956858</v>
      </c>
      <c r="H11" s="27">
        <f>'Race #2'!AH11</f>
        <v>291</v>
      </c>
      <c r="I11" s="35">
        <f t="shared" ref="I11" si="39">$E$32/($E$25+H11)</f>
        <v>0.88876930482920358</v>
      </c>
      <c r="J11" s="447" t="str">
        <f t="shared" si="12"/>
        <v>Yes</v>
      </c>
      <c r="K11" s="36">
        <f t="shared" si="1"/>
        <v>1</v>
      </c>
      <c r="L11" s="139">
        <v>0.72916666666666663</v>
      </c>
      <c r="M11" s="139">
        <v>0.7807291666666667</v>
      </c>
      <c r="N11" s="26">
        <f t="shared" si="2"/>
        <v>1</v>
      </c>
      <c r="O11" s="129">
        <f t="shared" si="3"/>
        <v>8</v>
      </c>
      <c r="P11" s="140">
        <f t="shared" ref="P11" si="40">M11-L11</f>
        <v>5.1562500000000067E-2</v>
      </c>
      <c r="Q11" s="141">
        <f t="shared" ref="Q11" si="41">HOUR(P11)*3600+MINUTE(P11)*60+SECOND(P11)</f>
        <v>4455</v>
      </c>
      <c r="R11" s="142">
        <f t="shared" ref="R11" si="42">IF(M11&gt;0,($H11*$E$21),0)</f>
        <v>594.22199999999998</v>
      </c>
      <c r="S11" s="38" t="s">
        <v>166</v>
      </c>
      <c r="T11" s="94">
        <f t="shared" ref="T11" si="43">IF(N11=1,IF(S11="No",H11,F11),"")</f>
        <v>291</v>
      </c>
      <c r="U11" s="122">
        <f t="shared" ref="U11" si="44">IF(S11="No",0,((H11-F11)*$E$21))</f>
        <v>0</v>
      </c>
      <c r="V11" s="122">
        <f t="shared" ref="V11" si="45">IF(S11="No",0,(-(I11-G11)*Q11))</f>
        <v>0</v>
      </c>
      <c r="W11" s="141">
        <f t="shared" ref="W11" si="46">Q11-R11+U11</f>
        <v>3860.7780000000002</v>
      </c>
      <c r="X11" s="26">
        <f t="shared" ref="X11" si="47">IF(S11="Yes",Q11*G11,Q11*I11)</f>
        <v>3959.467253014102</v>
      </c>
      <c r="Y11" s="40">
        <f t="shared" si="5"/>
        <v>6</v>
      </c>
      <c r="Z11" s="40">
        <f t="shared" si="6"/>
        <v>2</v>
      </c>
      <c r="AA11" s="160">
        <f t="shared" ref="AA11" si="48">IF($E$22="Yes",Y11,Z11)</f>
        <v>2</v>
      </c>
      <c r="AB11" s="169">
        <f t="shared" ref="AB11" si="49">IF($E$22="Yes",IF(Y11=1,5,IF(Y11=2,4,IF(Y11=3,3,IF(Y11=4,2,IF(Y11=5,1,0))))),IF(Z11=1,5,IF(Z11=2,4,IF(Z11=3,3,IF(Z11=4,2,IF(Z11=5,1,0))))))+K11</f>
        <v>5</v>
      </c>
      <c r="AC11" s="26">
        <f t="shared" ref="AC11" si="50">X11/$E$21</f>
        <v>1939.0143256680226</v>
      </c>
      <c r="AD11" s="26">
        <f t="shared" ref="AD11" si="51">IF(AC11&gt;0,((X11/$E$21)-$E$30),0)</f>
        <v>-53.182750222177447</v>
      </c>
      <c r="AE11" s="26">
        <f t="shared" ref="AE11" si="52">IF(AD11&gt;30,30,IF(AD11&lt;-30,-30,(AD11)))</f>
        <v>-30</v>
      </c>
      <c r="AF11" s="47">
        <f t="shared" ref="AF11" si="53">AE11*$E$23</f>
        <v>-3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#2'!$AI11</f>
        <v>8</v>
      </c>
      <c r="AJ11" s="92" t="str">
        <f t="shared" ref="AJ11" si="54">B11</f>
        <v>Lone Gull</v>
      </c>
      <c r="AK11" s="50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#2'!AG12</f>
        <v>270</v>
      </c>
      <c r="G12" s="34">
        <f t="shared" si="10"/>
        <v>0.91022235701473608</v>
      </c>
      <c r="H12" s="143">
        <f>'Race #2'!AH12</f>
        <v>277.69378245595362</v>
      </c>
      <c r="I12" s="43">
        <f t="shared" si="11"/>
        <v>0.90224343208510871</v>
      </c>
      <c r="J12" s="450" t="str">
        <f t="shared" si="12"/>
        <v>Yes</v>
      </c>
      <c r="K12" s="44">
        <f t="shared" si="1"/>
        <v>1</v>
      </c>
      <c r="L12" s="139">
        <v>0.72916666666666663</v>
      </c>
      <c r="M12" s="139">
        <v>0.77741898148148147</v>
      </c>
      <c r="N12" s="32">
        <f t="shared" si="2"/>
        <v>1</v>
      </c>
      <c r="O12" s="129">
        <f t="shared" si="3"/>
        <v>6</v>
      </c>
      <c r="P12" s="144">
        <f t="shared" si="35"/>
        <v>4.8252314814814845E-2</v>
      </c>
      <c r="Q12" s="145">
        <f t="shared" si="36"/>
        <v>4169</v>
      </c>
      <c r="R12" s="146">
        <f t="shared" si="4"/>
        <v>567.05070377505729</v>
      </c>
      <c r="S12" s="38" t="s">
        <v>166</v>
      </c>
      <c r="T12" s="95">
        <f t="shared" si="13"/>
        <v>277.69378245595362</v>
      </c>
      <c r="U12" s="147">
        <f t="shared" si="14"/>
        <v>0</v>
      </c>
      <c r="V12" s="147">
        <f t="shared" si="15"/>
        <v>0</v>
      </c>
      <c r="W12" s="145">
        <f t="shared" si="16"/>
        <v>3601.9492962249428</v>
      </c>
      <c r="X12" s="32">
        <f t="shared" si="17"/>
        <v>3761.4528683628182</v>
      </c>
      <c r="Y12" s="45">
        <f t="shared" si="5"/>
        <v>2</v>
      </c>
      <c r="Z12" s="45">
        <f t="shared" si="6"/>
        <v>1</v>
      </c>
      <c r="AA12" s="160">
        <f t="shared" si="7"/>
        <v>1</v>
      </c>
      <c r="AB12" s="169">
        <f t="shared" si="18"/>
        <v>6</v>
      </c>
      <c r="AC12" s="32">
        <f t="shared" si="19"/>
        <v>1842.0435202560325</v>
      </c>
      <c r="AD12" s="32">
        <f t="shared" si="8"/>
        <v>-150.15355563416756</v>
      </c>
      <c r="AE12" s="32">
        <f t="shared" si="37"/>
        <v>-30</v>
      </c>
      <c r="AF12" s="33">
        <f t="shared" si="9"/>
        <v>-3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#2'!$AI12</f>
        <v>9</v>
      </c>
      <c r="AJ12" s="126" t="str">
        <f t="shared" si="0"/>
        <v>MacGuffin</v>
      </c>
      <c r="AK12" s="50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#2'!AG13</f>
        <v>218.4</v>
      </c>
      <c r="G13" s="31">
        <f t="shared" si="10"/>
        <v>0.96761174316082654</v>
      </c>
      <c r="H13" s="27">
        <f>'Race #2'!AH13</f>
        <v>230.4</v>
      </c>
      <c r="I13" s="35">
        <f t="shared" si="11"/>
        <v>0.95362891450243303</v>
      </c>
      <c r="J13" s="447" t="str">
        <f t="shared" si="12"/>
        <v>No</v>
      </c>
      <c r="K13" s="36">
        <f t="shared" si="1"/>
        <v>0</v>
      </c>
      <c r="L13" s="139"/>
      <c r="M13" s="139"/>
      <c r="N13" s="26">
        <f t="shared" si="2"/>
        <v>0</v>
      </c>
      <c r="O13" s="129" t="str">
        <f t="shared" si="3"/>
        <v/>
      </c>
      <c r="P13" s="140">
        <f t="shared" si="35"/>
        <v>0</v>
      </c>
      <c r="Q13" s="141">
        <f t="shared" si="36"/>
        <v>0</v>
      </c>
      <c r="R13" s="142">
        <f t="shared" si="4"/>
        <v>0</v>
      </c>
      <c r="S13" s="38" t="s">
        <v>166</v>
      </c>
      <c r="T13" s="94" t="str">
        <f t="shared" si="13"/>
        <v/>
      </c>
      <c r="U13" s="122">
        <f t="shared" si="14"/>
        <v>0</v>
      </c>
      <c r="V13" s="122">
        <f t="shared" si="15"/>
        <v>0</v>
      </c>
      <c r="W13" s="141">
        <f t="shared" si="16"/>
        <v>0</v>
      </c>
      <c r="X13" s="26">
        <f t="shared" si="17"/>
        <v>0</v>
      </c>
      <c r="Y13" s="40" t="str">
        <f t="shared" si="5"/>
        <v/>
      </c>
      <c r="Z13" s="40" t="str">
        <f t="shared" si="6"/>
        <v/>
      </c>
      <c r="AA13" s="160" t="str">
        <f t="shared" si="7"/>
        <v/>
      </c>
      <c r="AB13" s="169">
        <f t="shared" si="18"/>
        <v>0</v>
      </c>
      <c r="AC13" s="26">
        <f t="shared" si="19"/>
        <v>0</v>
      </c>
      <c r="AD13" s="26">
        <f t="shared" si="8"/>
        <v>0</v>
      </c>
      <c r="AE13" s="26">
        <f t="shared" si="37"/>
        <v>0</v>
      </c>
      <c r="AF13" s="47">
        <f t="shared" si="9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#2'!$AI13</f>
        <v>1</v>
      </c>
      <c r="AJ13" s="92" t="str">
        <f t="shared" si="0"/>
        <v>Mirabelle</v>
      </c>
      <c r="AK13" s="50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#2'!AG14</f>
        <v>235.6</v>
      </c>
      <c r="G14" s="34">
        <f t="shared" si="10"/>
        <v>0.94769441192295401</v>
      </c>
      <c r="H14" s="143">
        <f>'Race #2'!AH14</f>
        <v>237.34898448569547</v>
      </c>
      <c r="I14" s="43">
        <f t="shared" si="11"/>
        <v>0.94571494714262516</v>
      </c>
      <c r="J14" s="450" t="str">
        <f t="shared" si="12"/>
        <v>Yes</v>
      </c>
      <c r="K14" s="44">
        <f t="shared" si="1"/>
        <v>1</v>
      </c>
      <c r="L14" s="139">
        <v>0.72916666666666663</v>
      </c>
      <c r="M14" s="139">
        <v>0.78061342592592597</v>
      </c>
      <c r="N14" s="32">
        <f t="shared" si="2"/>
        <v>1</v>
      </c>
      <c r="O14" s="129">
        <f t="shared" si="3"/>
        <v>7</v>
      </c>
      <c r="P14" s="144">
        <f t="shared" si="35"/>
        <v>5.1446759259259345E-2</v>
      </c>
      <c r="Q14" s="145">
        <f>HOUR(P14)*3600+MINUTE(P14)*60+SECOND(P14)</f>
        <v>4445</v>
      </c>
      <c r="R14" s="146">
        <f t="shared" si="4"/>
        <v>484.66662631979011</v>
      </c>
      <c r="S14" s="38" t="s">
        <v>166</v>
      </c>
      <c r="T14" s="95">
        <f t="shared" si="13"/>
        <v>237.34898448569547</v>
      </c>
      <c r="U14" s="147">
        <f t="shared" si="14"/>
        <v>0</v>
      </c>
      <c r="V14" s="147">
        <f t="shared" si="15"/>
        <v>0</v>
      </c>
      <c r="W14" s="145">
        <f t="shared" si="16"/>
        <v>3960.3333736802097</v>
      </c>
      <c r="X14" s="32">
        <f t="shared" si="17"/>
        <v>4203.7029400489691</v>
      </c>
      <c r="Y14" s="45">
        <f t="shared" si="5"/>
        <v>7</v>
      </c>
      <c r="Z14" s="45">
        <f t="shared" si="6"/>
        <v>6</v>
      </c>
      <c r="AA14" s="160">
        <f t="shared" si="7"/>
        <v>6</v>
      </c>
      <c r="AB14" s="169">
        <f t="shared" si="18"/>
        <v>1</v>
      </c>
      <c r="AC14" s="32">
        <f t="shared" si="19"/>
        <v>2058.6204407683495</v>
      </c>
      <c r="AD14" s="32">
        <f t="shared" si="8"/>
        <v>66.423364878149414</v>
      </c>
      <c r="AE14" s="32">
        <f t="shared" si="37"/>
        <v>30</v>
      </c>
      <c r="AF14" s="33">
        <f t="shared" si="9"/>
        <v>3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#2'!$AI14</f>
        <v>12</v>
      </c>
      <c r="AJ14" s="126" t="str">
        <f t="shared" si="0"/>
        <v>Outrageous</v>
      </c>
      <c r="AK14" s="50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#2'!AG15</f>
        <v>98.7</v>
      </c>
      <c r="G15" s="31">
        <f t="shared" si="10"/>
        <v>1.1333812088204098</v>
      </c>
      <c r="H15" s="27">
        <f>'Race #2'!AH15</f>
        <v>112.2</v>
      </c>
      <c r="I15" s="35">
        <f t="shared" si="11"/>
        <v>1.1118975717534687</v>
      </c>
      <c r="J15" s="447" t="str">
        <f t="shared" si="12"/>
        <v>Yes</v>
      </c>
      <c r="K15" s="36">
        <f t="shared" si="1"/>
        <v>1</v>
      </c>
      <c r="L15" s="139">
        <v>0.72916666666666663</v>
      </c>
      <c r="M15" s="139">
        <v>0.77311342592592591</v>
      </c>
      <c r="N15" s="26">
        <f t="shared" si="2"/>
        <v>1</v>
      </c>
      <c r="O15" s="129">
        <f t="shared" si="3"/>
        <v>1</v>
      </c>
      <c r="P15" s="140">
        <f t="shared" si="35"/>
        <v>4.3946759259259283E-2</v>
      </c>
      <c r="Q15" s="141">
        <f t="shared" si="36"/>
        <v>3797</v>
      </c>
      <c r="R15" s="142">
        <f t="shared" si="4"/>
        <v>229.11239999999998</v>
      </c>
      <c r="S15" s="38" t="s">
        <v>165</v>
      </c>
      <c r="T15" s="408">
        <f t="shared" si="13"/>
        <v>98.7</v>
      </c>
      <c r="U15" s="122">
        <f t="shared" si="14"/>
        <v>27.566999999999997</v>
      </c>
      <c r="V15" s="122">
        <f t="shared" si="15"/>
        <v>81.573369943175436</v>
      </c>
      <c r="W15" s="141">
        <f t="shared" si="16"/>
        <v>3595.4546</v>
      </c>
      <c r="X15" s="26">
        <f t="shared" si="17"/>
        <v>4303.4484498910961</v>
      </c>
      <c r="Y15" s="40">
        <f t="shared" si="5"/>
        <v>1</v>
      </c>
      <c r="Z15" s="40">
        <f t="shared" si="6"/>
        <v>7</v>
      </c>
      <c r="AA15" s="160">
        <f t="shared" si="7"/>
        <v>7</v>
      </c>
      <c r="AB15" s="169">
        <f t="shared" si="18"/>
        <v>1</v>
      </c>
      <c r="AC15" s="26">
        <f t="shared" si="19"/>
        <v>2107.4674093492149</v>
      </c>
      <c r="AD15" s="26">
        <f t="shared" si="8"/>
        <v>115.27033345901486</v>
      </c>
      <c r="AE15" s="26">
        <f t="shared" si="37"/>
        <v>30</v>
      </c>
      <c r="AF15" s="47">
        <f t="shared" si="9"/>
        <v>3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#2'!$AI15</f>
        <v>1</v>
      </c>
      <c r="AJ15" s="92" t="str">
        <f t="shared" si="0"/>
        <v>Paradox</v>
      </c>
      <c r="AK15" s="50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#2'!AG16</f>
        <v>157.5</v>
      </c>
      <c r="G16" s="34">
        <f t="shared" si="10"/>
        <v>1.0454038951852413</v>
      </c>
      <c r="H16" s="143">
        <f>'Race #2'!AH16</f>
        <v>163.5</v>
      </c>
      <c r="I16" s="43">
        <f t="shared" si="11"/>
        <v>1.037188540409719</v>
      </c>
      <c r="J16" s="450" t="str">
        <f t="shared" si="12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5"/>
        <v>0</v>
      </c>
      <c r="Q16" s="145">
        <f t="shared" si="36"/>
        <v>0</v>
      </c>
      <c r="R16" s="146">
        <f t="shared" si="4"/>
        <v>0</v>
      </c>
      <c r="S16" s="38" t="s">
        <v>166</v>
      </c>
      <c r="T16" s="95" t="str">
        <f t="shared" si="13"/>
        <v/>
      </c>
      <c r="U16" s="147">
        <f t="shared" si="14"/>
        <v>0</v>
      </c>
      <c r="V16" s="147">
        <f t="shared" si="15"/>
        <v>0</v>
      </c>
      <c r="W16" s="145">
        <f t="shared" si="16"/>
        <v>0</v>
      </c>
      <c r="X16" s="32">
        <f t="shared" si="17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8"/>
        <v>0</v>
      </c>
      <c r="AC16" s="32">
        <f t="shared" si="19"/>
        <v>0</v>
      </c>
      <c r="AD16" s="32">
        <f t="shared" si="8"/>
        <v>0</v>
      </c>
      <c r="AE16" s="32">
        <f t="shared" si="37"/>
        <v>0</v>
      </c>
      <c r="AF16" s="33">
        <f t="shared" si="9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#2'!$AI16</f>
        <v>0</v>
      </c>
      <c r="AJ16" s="126" t="str">
        <f t="shared" si="0"/>
        <v>Pegasus</v>
      </c>
      <c r="AK16" s="50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>
        <f>'Race #2'!AG17</f>
        <v>46</v>
      </c>
      <c r="G17" s="401">
        <f t="shared" si="10"/>
        <v>1.2258412548031274</v>
      </c>
      <c r="H17" s="400">
        <f>'Race #2'!AH17</f>
        <v>57.8</v>
      </c>
      <c r="I17" s="402">
        <f t="shared" si="11"/>
        <v>1.2038513995178177</v>
      </c>
      <c r="J17" s="448" t="str">
        <f t="shared" si="12"/>
        <v>No</v>
      </c>
      <c r="K17" s="403">
        <f t="shared" si="1"/>
        <v>0</v>
      </c>
      <c r="L17" s="150"/>
      <c r="M17" s="150"/>
      <c r="N17" s="404">
        <f>IF(W17&gt;0,1,0)</f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3"/>
        <v/>
      </c>
      <c r="U17" s="409">
        <f t="shared" si="14"/>
        <v>0</v>
      </c>
      <c r="V17" s="409">
        <f t="shared" si="15"/>
        <v>0</v>
      </c>
      <c r="W17" s="406">
        <f t="shared" si="16"/>
        <v>0</v>
      </c>
      <c r="X17" s="404">
        <f t="shared" si="17"/>
        <v>0</v>
      </c>
      <c r="Y17" s="410" t="str">
        <f t="shared" si="5"/>
        <v/>
      </c>
      <c r="Z17" s="411" t="str">
        <f t="shared" si="6"/>
        <v/>
      </c>
      <c r="AA17" s="161" t="str">
        <f t="shared" si="7"/>
        <v/>
      </c>
      <c r="AB17" s="161">
        <f t="shared" si="18"/>
        <v>0</v>
      </c>
      <c r="AC17" s="404">
        <f t="shared" si="19"/>
        <v>0</v>
      </c>
      <c r="AD17" s="404">
        <f t="shared" si="8"/>
        <v>0</v>
      </c>
      <c r="AE17" s="404">
        <f>IF(AD17&gt;30,30,IF(AD17&lt;-30,-30,(AD17)))</f>
        <v>0</v>
      </c>
      <c r="AF17" s="412">
        <f t="shared" si="9"/>
        <v>0</v>
      </c>
      <c r="AG17" s="413">
        <f>MIN(MAX(IF(S17="Yes",F17+AF17,F17),'Roster and Starting Handicaps'!M19),'Roster and Starting Handicaps'!N19)</f>
        <v>46</v>
      </c>
      <c r="AH17" s="413">
        <f>MIN(MAX(IF(S17="No",H17+AF17,H17),'Roster and Starting Handicaps'!O19,'Roster and Starting Handicaps'!P19))</f>
        <v>69.36</v>
      </c>
      <c r="AI17" s="171">
        <f>AB17+'Race #2'!$AI17</f>
        <v>0</v>
      </c>
      <c r="AJ17" s="92" t="str">
        <f t="shared" si="0"/>
        <v>Superfly</v>
      </c>
      <c r="AK17" s="50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#2'!AG18</f>
        <v>194.4</v>
      </c>
      <c r="G18" s="431">
        <f t="shared" si="10"/>
        <v>0.99684472633789079</v>
      </c>
      <c r="H18" s="430">
        <f>'Race #2'!AH18</f>
        <v>207.2</v>
      </c>
      <c r="I18" s="432">
        <f t="shared" si="11"/>
        <v>0.98103747596979729</v>
      </c>
      <c r="J18" s="451" t="str">
        <f t="shared" si="12"/>
        <v>No</v>
      </c>
      <c r="K18" s="433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5"/>
        <v>0</v>
      </c>
      <c r="Q18" s="436">
        <f t="shared" si="36"/>
        <v>0</v>
      </c>
      <c r="R18" s="437">
        <f t="shared" si="4"/>
        <v>0</v>
      </c>
      <c r="S18" s="39" t="s">
        <v>166</v>
      </c>
      <c r="T18" s="438" t="str">
        <f t="shared" si="13"/>
        <v/>
      </c>
      <c r="U18" s="439">
        <f t="shared" si="14"/>
        <v>0</v>
      </c>
      <c r="V18" s="439">
        <f>IF(S18="No",0,(-(I18-G18)*Q18))</f>
        <v>0</v>
      </c>
      <c r="W18" s="436">
        <f t="shared" si="16"/>
        <v>0</v>
      </c>
      <c r="X18" s="434">
        <f t="shared" si="17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8"/>
        <v>0</v>
      </c>
      <c r="AC18" s="434">
        <f t="shared" si="19"/>
        <v>0</v>
      </c>
      <c r="AD18" s="434">
        <f t="shared" si="8"/>
        <v>0</v>
      </c>
      <c r="AE18" s="434">
        <f t="shared" si="37"/>
        <v>0</v>
      </c>
      <c r="AF18" s="441">
        <f t="shared" si="9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Handicaps'!O20,'Roster and Starting Handicaps'!P20))</f>
        <v>212.4</v>
      </c>
      <c r="AI18" s="173">
        <f>AB18+'Race #2'!$AI18</f>
        <v>0</v>
      </c>
      <c r="AJ18" s="446" t="str">
        <f t="shared" si="0"/>
        <v>Triton</v>
      </c>
      <c r="AK18" s="50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f>AA31</f>
        <v>2.0419999999999998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str">
        <f>IF($E$28&gt;0,VLOOKUP(1,$AA$4:$AJ$18,10,FALSE),"")</f>
        <v>MacGuffin</v>
      </c>
      <c r="J22" s="348"/>
      <c r="K22" s="463" cm="1">
        <f t="array" ref="K22">IFERROR(VLOOKUP(I22,$B$4:$X$18,23,0)-_xlfn.MINIFS($X$4:$X$18,$X$4:$X$18,"&gt;0"),"")</f>
        <v>0</v>
      </c>
      <c r="L22" s="464"/>
      <c r="M22" s="463">
        <f>IFERROR(VLOOKUP(I22,$B$4:$W$18,22,0)-_xlfn.MINIFS($W$4:$W$18,$W$4:$W$18,"&gt;0"),"")</f>
        <v>6.4946962249427997</v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>Second Place</v>
      </c>
      <c r="H23" s="453"/>
      <c r="I23" s="458" t="str">
        <f>IF($E$28&gt;1,VLOOKUP(2,$AA$4:$AJ$18,10,FALSE),"")</f>
        <v>Lone Gull</v>
      </c>
      <c r="J23" s="459"/>
      <c r="K23" s="463">
        <f>IFERROR(VLOOKUP(I23,$B$4:$X$18,23,0)-_xlfn.MINIFS($X$4:$X$18,$X$4:$X$18,"&gt;0"),"")</f>
        <v>198.01438465128376</v>
      </c>
      <c r="L23" s="464"/>
      <c r="M23" s="463">
        <f t="shared" ref="M23:M33" si="55">IFERROR(VLOOKUP(I23,$B$4:$W$18,22,0)-_xlfn.MINIFS($W$4:$W$18,$W$4:$W$18,"&gt;0"),"")</f>
        <v>265.32340000000022</v>
      </c>
      <c r="N23" s="467"/>
      <c r="P23" s="80">
        <v>2</v>
      </c>
      <c r="Q23" s="81">
        <v>1</v>
      </c>
      <c r="U23" s="380" t="s">
        <v>180</v>
      </c>
      <c r="V23" s="380"/>
      <c r="W23" s="381" t="s">
        <v>230</v>
      </c>
      <c r="X23" s="71"/>
      <c r="Y23" s="71"/>
      <c r="Z23" s="71"/>
      <c r="AA23" s="380">
        <v>1.0209999999999999</v>
      </c>
      <c r="AD23" s="380" t="s">
        <v>239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198</v>
      </c>
      <c r="G24" s="452" t="str">
        <f>IF(E28&gt;2,"Third Place","")</f>
        <v>Third Place</v>
      </c>
      <c r="H24" s="453"/>
      <c r="I24" s="458" t="str">
        <f>IF($E$28&gt;2,VLOOKUP(3,$AA$4:$AJ$18,10,FALSE),"")</f>
        <v>Grin</v>
      </c>
      <c r="J24" s="459"/>
      <c r="K24" s="463">
        <f t="shared" ref="K24:K33" si="56">IFERROR(VLOOKUP(I24,$B$4:$X$18,23,0)-_xlfn.MINIFS($X$4:$X$18,$X$4:$X$18,"&gt;0"),"")</f>
        <v>306.61356060496973</v>
      </c>
      <c r="L24" s="464"/>
      <c r="M24" s="463">
        <f t="shared" si="55"/>
        <v>134.95060000000012</v>
      </c>
      <c r="N24" s="467"/>
      <c r="P24" s="82">
        <v>3</v>
      </c>
      <c r="Q24" s="72">
        <v>2</v>
      </c>
      <c r="U24" s="380" t="s">
        <v>230</v>
      </c>
      <c r="V24" s="380"/>
      <c r="W24" s="381" t="s">
        <v>180</v>
      </c>
      <c r="X24" s="71"/>
      <c r="Y24" s="71"/>
      <c r="Z24" s="71"/>
      <c r="AA24" s="380">
        <v>1.0209999999999999</v>
      </c>
      <c r="AD24" s="380"/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600</v>
      </c>
      <c r="G25" s="452" t="str">
        <f>IF(E28&gt;3,"Fourth Place","")</f>
        <v>Fourth Place</v>
      </c>
      <c r="H25" s="453"/>
      <c r="I25" s="458" t="str">
        <f>IF($E$28&gt;3,VLOOKUP(4,$AA$4:$AJ$18,10,FALSE),"")</f>
        <v>KristinB II</v>
      </c>
      <c r="J25" s="459"/>
      <c r="K25" s="463">
        <f t="shared" si="56"/>
        <v>340.3531765068351</v>
      </c>
      <c r="L25" s="464"/>
      <c r="M25" s="463">
        <f t="shared" si="55"/>
        <v>64.949200000000019</v>
      </c>
      <c r="N25" s="467"/>
      <c r="P25" s="82">
        <v>4</v>
      </c>
      <c r="Q25" s="72">
        <v>2</v>
      </c>
      <c r="U25" s="380"/>
      <c r="V25" s="380"/>
      <c r="W25" s="381"/>
      <c r="X25" s="71"/>
      <c r="Y25" s="71"/>
      <c r="Z25" s="71"/>
      <c r="AA25" s="380"/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>Fifth Place</v>
      </c>
      <c r="H26" s="453"/>
      <c r="I26" s="458" t="str">
        <f>IF($E$28&gt;4,VLOOKUP(5,$AA$4:$AJ$18,10,FALSE),"")</f>
        <v>Feng Shui</v>
      </c>
      <c r="J26" s="459"/>
      <c r="K26" s="463">
        <f t="shared" si="56"/>
        <v>362.09861796492578</v>
      </c>
      <c r="L26" s="464"/>
      <c r="M26" s="463">
        <f t="shared" si="55"/>
        <v>96.404921047173048</v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8</v>
      </c>
      <c r="G27" s="452" t="str">
        <f>IF($E$28&gt;5,"Sixth Place","")</f>
        <v>Sixth Place</v>
      </c>
      <c r="H27" s="453"/>
      <c r="I27" s="458" t="str">
        <f>IF($E$28&gt;5,VLOOKUP(6,$AA$4:$AJ$18,10,FALSE),"")</f>
        <v>Outrageous</v>
      </c>
      <c r="J27" s="459"/>
      <c r="K27" s="463">
        <f t="shared" si="56"/>
        <v>442.25007168615093</v>
      </c>
      <c r="L27" s="464"/>
      <c r="M27" s="463">
        <f t="shared" si="55"/>
        <v>364.87877368020963</v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8</v>
      </c>
      <c r="G28" s="452" t="str">
        <f>IF($E$28&gt;6,"Seventh Place","")</f>
        <v>Seventh Place</v>
      </c>
      <c r="H28" s="453"/>
      <c r="I28" s="458" t="str">
        <f>IF($E$28&gt;6,VLOOKUP(7,$AA$4:$AJ$18,10,FALSE),"")</f>
        <v>Paradox</v>
      </c>
      <c r="J28" s="459"/>
      <c r="K28" s="463">
        <f t="shared" si="56"/>
        <v>541.99558152827785</v>
      </c>
      <c r="L28" s="464"/>
      <c r="M28" s="463">
        <f t="shared" si="55"/>
        <v>0</v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>
        <f>VLOOKUP(E28,P23:Q33,2,FALSE)</f>
        <v>3</v>
      </c>
      <c r="G29" s="452" t="str">
        <f>IF(E28&gt;7,"EighthPlace","")</f>
        <v>EighthPlace</v>
      </c>
      <c r="H29" s="453"/>
      <c r="I29" s="458" t="str">
        <f>IF($E$28&gt;7,VLOOKUP(8,$AA$4:$AJ$18,10,FALSE),"")</f>
        <v>Cheerio</v>
      </c>
      <c r="J29" s="459"/>
      <c r="K29" s="463">
        <f t="shared" si="56"/>
        <v>1115.3068281830961</v>
      </c>
      <c r="L29" s="464"/>
      <c r="M29" s="463">
        <f t="shared" si="55"/>
        <v>369.5902000000001</v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>
        <f>VLOOKUP(E29,Z4:AC18,4,FALSE)</f>
        <v>1992.1970758902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191.89345060282042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f>SUM(AA22:AA30)</f>
        <v>2.0419999999999998</v>
      </c>
    </row>
    <row r="32" spans="2:37" ht="18" customHeight="1" x14ac:dyDescent="0.2">
      <c r="D32" s="56" t="s">
        <v>190</v>
      </c>
      <c r="E32" s="377">
        <f>E25+E31</f>
        <v>791.89345060282039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3797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19" priority="3" operator="equal">
      <formula>1</formula>
    </cfRule>
  </conditionalFormatting>
  <conditionalFormatting sqref="S4:T14 S15 S16:T18">
    <cfRule type="cellIs" dxfId="18" priority="1" operator="equal">
      <formula>"Yes"</formula>
    </cfRule>
  </conditionalFormatting>
  <dataValidations count="2">
    <dataValidation type="list" allowBlank="1" showInputMessage="1" showErrorMessage="1" sqref="J4:J18 S4:S18 E22 E26" xr:uid="{45C7E2C4-9E3C-414B-BB89-395C7ECC2CCD}">
      <formula1>$AN$4:$AN$5</formula1>
    </dataValidation>
    <dataValidation type="list" allowBlank="1" showInputMessage="1" showErrorMessage="1" sqref="E24" xr:uid="{5DC3982A-C9FA-42BE-9D56-CFD67A602F3E}">
      <formula1>$I$37:$I$39</formula1>
    </dataValidation>
  </dataValidations>
  <printOptions horizontalCentered="1"/>
  <pageMargins left="0.7" right="0.7" top="0.75" bottom="0.75" header="0.3" footer="0.3"/>
  <pageSetup paperSize="9" scale="55" fitToWidth="2" orientation="landscape" r:id="rId1"/>
  <ignoredErrors>
    <ignoredError sqref="H18 H7 H4 H12:H16 H9:H10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38CAE-110B-7347-B05F-AC04C3B0A12D}">
  <sheetPr>
    <pageSetUpPr fitToPage="1"/>
  </sheetPr>
  <dimension ref="B1:AN45"/>
  <sheetViews>
    <sheetView tabSelected="1" zoomScale="70" zoomScaleNormal="70" workbookViewId="0">
      <selection activeCell="AA26" sqref="AA26"/>
    </sheetView>
  </sheetViews>
  <sheetFormatPr baseColWidth="10" defaultColWidth="8.83203125" defaultRowHeight="15" x14ac:dyDescent="0.2"/>
  <cols>
    <col min="1" max="1" width="2.83203125" customWidth="1"/>
    <col min="2" max="2" width="1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207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#3'!AG4</f>
        <v>110.1</v>
      </c>
      <c r="G4" s="87">
        <f>$E$32/($E$25+F4)</f>
        <v>1.1502796136248092</v>
      </c>
      <c r="H4" s="132">
        <f>'Race #3'!AH4</f>
        <v>151.19999999999999</v>
      </c>
      <c r="I4" s="88">
        <f>$E$32/($E$25+H4)</f>
        <v>1.0753802281368821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 t="shared" ref="AC4:AC18" si="8">X4/$E$21</f>
        <v>0</v>
      </c>
      <c r="AD4" s="85">
        <f t="shared" ref="AD4:AD18" si="9">IF(AC4&gt;0,((X4/$E$21)-$E$30),0)</f>
        <v>0</v>
      </c>
      <c r="AE4" s="85">
        <f>IF(AD4&gt;30,30,IF(AD4&lt;-30,-30,(AD4)))</f>
        <v>0</v>
      </c>
      <c r="AF4" s="90">
        <f t="shared" ref="AF4:AF18" si="10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#3'!AI4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#3'!AG5</f>
        <v>87</v>
      </c>
      <c r="G5" s="31">
        <f t="shared" ref="G5:G18" si="11">$E$32/($E$25+F5)</f>
        <v>1.1971428571428571</v>
      </c>
      <c r="H5" s="27">
        <f>'Race #3'!AH5</f>
        <v>132</v>
      </c>
      <c r="I5" s="35">
        <f t="shared" ref="I5:I18" si="12">$E$32/($E$25+H5)</f>
        <v>1.1091176470588235</v>
      </c>
      <c r="J5" s="447" t="str">
        <f t="shared" ref="J5:J18" si="13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3"/>
        <v/>
      </c>
      <c r="P5" s="140">
        <f>M5-L5</f>
        <v>0</v>
      </c>
      <c r="Q5" s="141">
        <f>HOUR(P5)*3600+MINUTE(P5)*60+SECOND(P5)</f>
        <v>0</v>
      </c>
      <c r="R5" s="142">
        <f t="shared" si="4"/>
        <v>0</v>
      </c>
      <c r="S5" s="38" t="s">
        <v>166</v>
      </c>
      <c r="T5" s="94" t="str">
        <f t="shared" ref="T5:T18" si="14">IF(N5=1,IF(S5="No",H5,F5),"")</f>
        <v/>
      </c>
      <c r="U5" s="122">
        <f t="shared" ref="U5:U18" si="15">IF(S5="No",0,((H5-F5)*$E$21))</f>
        <v>0</v>
      </c>
      <c r="V5" s="122">
        <f t="shared" ref="V5:V17" si="16">IF(S5="No",0,(-(I5-G5)*Q5))</f>
        <v>0</v>
      </c>
      <c r="W5" s="141">
        <f t="shared" ref="W5:W18" si="17">Q5-R5+U5</f>
        <v>0</v>
      </c>
      <c r="X5" s="26">
        <f t="shared" ref="X5:X18" si="18">IF(S5="Yes",Q5*G5,Q5*I5)</f>
        <v>0</v>
      </c>
      <c r="Y5" s="40" t="str">
        <f t="shared" si="5"/>
        <v/>
      </c>
      <c r="Z5" s="40" t="str">
        <f t="shared" si="6"/>
        <v/>
      </c>
      <c r="AA5" s="160" t="str">
        <f t="shared" si="7"/>
        <v/>
      </c>
      <c r="AB5" s="169">
        <f t="shared" ref="AB5:AB18" si="19">IF($E$22="Yes",IF(Y5=1,5,IF(Y5=2,4,IF(Y5=3,3,IF(Y5=4,2,IF(Y5=5,1,0))))),IF(Z5=1,5,IF(Z5=2,4,IF(Z5=3,3,IF(Z5=4,2,IF(Z5=5,1,0))))))+K5</f>
        <v>0</v>
      </c>
      <c r="AC5" s="26">
        <f t="shared" si="8"/>
        <v>0</v>
      </c>
      <c r="AD5" s="26">
        <f t="shared" si="9"/>
        <v>0</v>
      </c>
      <c r="AE5" s="26">
        <f>IF(AD5&gt;30,30,IF(AD5&lt;-30,-30,(AD5)))</f>
        <v>0</v>
      </c>
      <c r="AF5" s="47">
        <f t="shared" si="10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#3'!AI5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>
        <f>'Race #3'!AG6</f>
        <v>54</v>
      </c>
      <c r="G6" s="34">
        <f t="shared" ref="G6" si="20">$E$32/($E$25+F6)</f>
        <v>1.2711235955056179</v>
      </c>
      <c r="H6" s="143">
        <f>'Race #3'!AH6</f>
        <v>78.719999999999985</v>
      </c>
      <c r="I6" s="43">
        <f t="shared" ref="I6" si="21">$E$32/($E$25+H6)</f>
        <v>1.2148840206185565</v>
      </c>
      <c r="J6" s="450" t="str">
        <f t="shared" si="13"/>
        <v>Yes</v>
      </c>
      <c r="K6" s="44">
        <f t="shared" ref="K6" si="22">IF(J6="Yes",1,0)</f>
        <v>1</v>
      </c>
      <c r="L6" s="139">
        <v>0.70833333333333337</v>
      </c>
      <c r="M6" s="139">
        <v>0.74643518518518515</v>
      </c>
      <c r="N6" s="32">
        <f>IF(W6&gt;0,1,0)</f>
        <v>1</v>
      </c>
      <c r="O6" s="129">
        <f t="shared" si="3"/>
        <v>1</v>
      </c>
      <c r="P6" s="144">
        <f>M6-L6</f>
        <v>3.8101851851851776E-2</v>
      </c>
      <c r="Q6" s="145">
        <f>HOUR(P6)*3600+MINUTE(P6)*60+SECOND(P6)</f>
        <v>3292</v>
      </c>
      <c r="R6" s="146">
        <f t="shared" ref="R6" si="23">IF(M6&gt;0,($H6*$E$21),0)</f>
        <v>338.49599999999992</v>
      </c>
      <c r="S6" s="38" t="s">
        <v>166</v>
      </c>
      <c r="T6" s="95">
        <f t="shared" ref="T6" si="24">IF(N6=1,IF(S6="No",H6,F6),"")</f>
        <v>78.719999999999985</v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2953.5039999999999</v>
      </c>
      <c r="X6" s="32">
        <f t="shared" ref="X6" si="28">IF(S6="Yes",Q6*G6,Q6*I6)</f>
        <v>3999.3981958762879</v>
      </c>
      <c r="Y6" s="45">
        <f t="shared" si="5"/>
        <v>3</v>
      </c>
      <c r="Z6" s="45">
        <f t="shared" si="6"/>
        <v>3</v>
      </c>
      <c r="AA6" s="160">
        <f t="shared" ref="AA6" si="29">IF($E$22="Yes",Y6,Z6)</f>
        <v>3</v>
      </c>
      <c r="AB6" s="169">
        <f t="shared" ref="AB6" si="30">IF($E$22="Yes",IF(Y6=1,5,IF(Y6=2,4,IF(Y6=3,3,IF(Y6=4,2,IF(Y6=5,1,0))))),IF(Z6=1,5,IF(Z6=2,4,IF(Z6=3,3,IF(Z6=4,2,IF(Z6=5,1,0))))))+K6</f>
        <v>4</v>
      </c>
      <c r="AC6" s="32">
        <f t="shared" ref="AC6" si="31">X6/$E$21</f>
        <v>930.09260369215997</v>
      </c>
      <c r="AD6" s="32">
        <f t="shared" ref="AD6" si="32">IF(AC6&gt;0,((X6/$E$21)-$E$30),0)</f>
        <v>88.100799390458405</v>
      </c>
      <c r="AE6" s="32">
        <f>IF(AD6&gt;30,30,IF(AD6&lt;-30,-30,(AD6)))</f>
        <v>30</v>
      </c>
      <c r="AF6" s="33">
        <f t="shared" ref="AF6" si="33">AE6*$E$23</f>
        <v>3</v>
      </c>
      <c r="AG6" s="166">
        <f>MIN(MAX(IF(S6="Yes",F6+AF6,F6),'Roster and Starting Handicaps'!M8),'Roster and Starting Handicaps'!N8)</f>
        <v>54</v>
      </c>
      <c r="AH6" s="166">
        <f>MIN(MAX(IF(S6="No",H6+AF6,H6),'Roster and Starting Handicaps'!O8,'Roster and Starting Handicaps'!P8))</f>
        <v>81.719999999999985</v>
      </c>
      <c r="AI6" s="170">
        <f>AB6+'Race #3'!AI6</f>
        <v>5</v>
      </c>
      <c r="AJ6" s="125" t="str">
        <f t="shared" ref="AJ6" si="34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#3'!AG7</f>
        <v>195</v>
      </c>
      <c r="G7" s="31">
        <f t="shared" si="11"/>
        <v>1.0056</v>
      </c>
      <c r="H7" s="27">
        <f>'Race #3'!AH7</f>
        <v>241.2</v>
      </c>
      <c r="I7" s="35">
        <f t="shared" si="12"/>
        <v>0.94118136439267874</v>
      </c>
      <c r="J7" s="447" t="str">
        <f t="shared" si="13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4"/>
        <v>0</v>
      </c>
      <c r="S7" s="38" t="s">
        <v>166</v>
      </c>
      <c r="T7" s="94" t="str">
        <f t="shared" si="14"/>
        <v/>
      </c>
      <c r="U7" s="122">
        <f t="shared" si="15"/>
        <v>0</v>
      </c>
      <c r="V7" s="122">
        <f t="shared" si="16"/>
        <v>0</v>
      </c>
      <c r="W7" s="141">
        <f t="shared" si="17"/>
        <v>0</v>
      </c>
      <c r="X7" s="26">
        <f t="shared" si="18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9"/>
        <v>0</v>
      </c>
      <c r="AC7" s="26">
        <f t="shared" si="8"/>
        <v>0</v>
      </c>
      <c r="AD7" s="26">
        <f t="shared" si="9"/>
        <v>0</v>
      </c>
      <c r="AE7" s="26">
        <f t="shared" ref="AE7:AE18" si="37">IF(AD7&gt;30,30,IF(AD7&lt;-30,-30,(AD7)))</f>
        <v>0</v>
      </c>
      <c r="AF7" s="47">
        <f t="shared" si="10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#3'!AI7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#3'!AG8</f>
        <v>164.2</v>
      </c>
      <c r="G8" s="34">
        <f t="shared" si="11"/>
        <v>1.053678981682707</v>
      </c>
      <c r="H8" s="143">
        <f>'Race #3'!AH8</f>
        <v>202.79999999999998</v>
      </c>
      <c r="I8" s="43">
        <f t="shared" si="12"/>
        <v>0.99411247803163449</v>
      </c>
      <c r="J8" s="450" t="str">
        <f t="shared" si="13"/>
        <v>No</v>
      </c>
      <c r="K8" s="44">
        <f t="shared" si="1"/>
        <v>0</v>
      </c>
      <c r="L8" s="139"/>
      <c r="M8" s="139"/>
      <c r="N8" s="32">
        <f>IF(W8&gt;0,1,0)</f>
        <v>0</v>
      </c>
      <c r="O8" s="129" t="str">
        <f t="shared" si="3"/>
        <v/>
      </c>
      <c r="P8" s="144">
        <f>M8-L8</f>
        <v>0</v>
      </c>
      <c r="Q8" s="145">
        <f>HOUR(P8)*3600+MINUTE(P8)*60+SECOND(P8)</f>
        <v>0</v>
      </c>
      <c r="R8" s="146">
        <f t="shared" si="4"/>
        <v>0</v>
      </c>
      <c r="S8" s="38" t="s">
        <v>166</v>
      </c>
      <c r="T8" s="95" t="str">
        <f t="shared" si="14"/>
        <v/>
      </c>
      <c r="U8" s="147">
        <f t="shared" si="15"/>
        <v>0</v>
      </c>
      <c r="V8" s="147">
        <f t="shared" si="16"/>
        <v>0</v>
      </c>
      <c r="W8" s="145">
        <f t="shared" si="17"/>
        <v>0</v>
      </c>
      <c r="X8" s="32">
        <f t="shared" si="18"/>
        <v>0</v>
      </c>
      <c r="Y8" s="45" t="str">
        <f t="shared" si="5"/>
        <v/>
      </c>
      <c r="Z8" s="45" t="str">
        <f t="shared" si="6"/>
        <v/>
      </c>
      <c r="AA8" s="160" t="str">
        <f t="shared" si="7"/>
        <v/>
      </c>
      <c r="AB8" s="169">
        <f t="shared" si="19"/>
        <v>0</v>
      </c>
      <c r="AC8" s="32">
        <f t="shared" si="8"/>
        <v>0</v>
      </c>
      <c r="AD8" s="32">
        <f t="shared" si="9"/>
        <v>0</v>
      </c>
      <c r="AE8" s="32">
        <f>IF(AD8&gt;30,30,IF(AD8&lt;-30,-30,(AD8)))</f>
        <v>0</v>
      </c>
      <c r="AF8" s="33">
        <f t="shared" si="10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#3'!AI8</f>
        <v>10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#3'!AG9</f>
        <v>194.4</v>
      </c>
      <c r="G9" s="31">
        <f t="shared" si="11"/>
        <v>1.0064946619217081</v>
      </c>
      <c r="H9" s="27">
        <f>'Race #3'!AH9</f>
        <v>212.4</v>
      </c>
      <c r="I9" s="35">
        <f t="shared" si="12"/>
        <v>0.98032928942807629</v>
      </c>
      <c r="J9" s="447" t="str">
        <f t="shared" si="13"/>
        <v>Yes</v>
      </c>
      <c r="K9" s="36">
        <f t="shared" si="1"/>
        <v>1</v>
      </c>
      <c r="L9" s="139">
        <v>0.70833333333333337</v>
      </c>
      <c r="M9" s="139">
        <v>0.75928240740740738</v>
      </c>
      <c r="N9" s="26">
        <f t="shared" si="2"/>
        <v>1</v>
      </c>
      <c r="O9" s="129">
        <f t="shared" si="3"/>
        <v>4</v>
      </c>
      <c r="P9" s="140">
        <f t="shared" si="35"/>
        <v>5.0949074074074008E-2</v>
      </c>
      <c r="Q9" s="141">
        <f t="shared" si="36"/>
        <v>4402</v>
      </c>
      <c r="R9" s="142">
        <f t="shared" si="4"/>
        <v>913.31999999999994</v>
      </c>
      <c r="S9" s="38" t="s">
        <v>166</v>
      </c>
      <c r="T9" s="94">
        <f t="shared" si="14"/>
        <v>212.4</v>
      </c>
      <c r="U9" s="122">
        <f t="shared" si="15"/>
        <v>0</v>
      </c>
      <c r="V9" s="122">
        <f t="shared" si="16"/>
        <v>0</v>
      </c>
      <c r="W9" s="141">
        <f t="shared" si="17"/>
        <v>3488.6800000000003</v>
      </c>
      <c r="X9" s="26">
        <f t="shared" si="18"/>
        <v>4315.4095320623919</v>
      </c>
      <c r="Y9" s="40">
        <f t="shared" si="5"/>
        <v>4</v>
      </c>
      <c r="Z9" s="40">
        <f t="shared" si="6"/>
        <v>4</v>
      </c>
      <c r="AA9" s="160">
        <f t="shared" si="7"/>
        <v>4</v>
      </c>
      <c r="AB9" s="169">
        <f t="shared" si="19"/>
        <v>3</v>
      </c>
      <c r="AC9" s="26">
        <f t="shared" si="8"/>
        <v>1003.5836121075331</v>
      </c>
      <c r="AD9" s="26">
        <f t="shared" si="9"/>
        <v>161.59180780583154</v>
      </c>
      <c r="AE9" s="26">
        <f t="shared" si="37"/>
        <v>30</v>
      </c>
      <c r="AF9" s="47">
        <f t="shared" si="10"/>
        <v>3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215.4</v>
      </c>
      <c r="AI9" s="170">
        <f>AB9+'Race #3'!AI9</f>
        <v>9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#3'!AG10</f>
        <v>162</v>
      </c>
      <c r="G10" s="34">
        <f t="shared" si="11"/>
        <v>1.0572897196261681</v>
      </c>
      <c r="H10" s="143">
        <f>'Race #3'!AH10</f>
        <v>190.79999999999998</v>
      </c>
      <c r="I10" s="43">
        <f t="shared" si="12"/>
        <v>1.0118962432915921</v>
      </c>
      <c r="J10" s="450" t="str">
        <f t="shared" si="13"/>
        <v>Yes</v>
      </c>
      <c r="K10" s="44">
        <f t="shared" si="1"/>
        <v>1</v>
      </c>
      <c r="L10" s="139">
        <v>0.70833333333333337</v>
      </c>
      <c r="M10" s="139">
        <v>0.74974537037037037</v>
      </c>
      <c r="N10" s="32">
        <f t="shared" si="2"/>
        <v>1</v>
      </c>
      <c r="O10" s="129">
        <f t="shared" si="3"/>
        <v>2</v>
      </c>
      <c r="P10" s="144">
        <f t="shared" si="35"/>
        <v>4.1412037037036997E-2</v>
      </c>
      <c r="Q10" s="145">
        <f t="shared" si="36"/>
        <v>3578</v>
      </c>
      <c r="R10" s="146">
        <f t="shared" si="4"/>
        <v>820.43999999999994</v>
      </c>
      <c r="S10" s="38" t="s">
        <v>166</v>
      </c>
      <c r="T10" s="95">
        <f t="shared" si="14"/>
        <v>190.79999999999998</v>
      </c>
      <c r="U10" s="147">
        <f t="shared" si="15"/>
        <v>0</v>
      </c>
      <c r="V10" s="147">
        <f t="shared" si="16"/>
        <v>0</v>
      </c>
      <c r="W10" s="145">
        <f t="shared" si="17"/>
        <v>2757.56</v>
      </c>
      <c r="X10" s="32">
        <f t="shared" si="18"/>
        <v>3620.5647584973167</v>
      </c>
      <c r="Y10" s="45">
        <f t="shared" si="5"/>
        <v>2</v>
      </c>
      <c r="Z10" s="45">
        <f t="shared" si="6"/>
        <v>2</v>
      </c>
      <c r="AA10" s="160">
        <f t="shared" si="7"/>
        <v>2</v>
      </c>
      <c r="AB10" s="169">
        <f t="shared" si="19"/>
        <v>5</v>
      </c>
      <c r="AC10" s="32">
        <f t="shared" si="8"/>
        <v>841.99180430170156</v>
      </c>
      <c r="AD10" s="32">
        <f t="shared" si="9"/>
        <v>0</v>
      </c>
      <c r="AE10" s="32">
        <f t="shared" si="37"/>
        <v>0</v>
      </c>
      <c r="AF10" s="33">
        <f t="shared" si="10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#3'!AI10</f>
        <v>13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#3'!AG11</f>
        <v>280</v>
      </c>
      <c r="G11" s="31">
        <f t="shared" ref="G11" si="38">$E$32/($E$25+F11)</f>
        <v>0.89313157894736839</v>
      </c>
      <c r="H11" s="27">
        <f>'Race #3'!AH11</f>
        <v>345.59999999999997</v>
      </c>
      <c r="I11" s="35">
        <f t="shared" ref="I11" si="39">$E$32/($E$25+H11)</f>
        <v>0.82216569767441872</v>
      </c>
      <c r="J11" s="447" t="str">
        <f t="shared" si="13"/>
        <v>No</v>
      </c>
      <c r="K11" s="36">
        <f t="shared" si="1"/>
        <v>0</v>
      </c>
      <c r="L11" s="139"/>
      <c r="M11" s="139"/>
      <c r="N11" s="26">
        <f t="shared" si="2"/>
        <v>0</v>
      </c>
      <c r="O11" s="129" t="str">
        <f t="shared" si="3"/>
        <v/>
      </c>
      <c r="P11" s="140">
        <f t="shared" ref="P11" si="40">M11-L11</f>
        <v>0</v>
      </c>
      <c r="Q11" s="141">
        <f t="shared" ref="Q11" si="41">HOUR(P11)*3600+MINUTE(P11)*60+SECOND(P11)</f>
        <v>0</v>
      </c>
      <c r="R11" s="142">
        <f t="shared" ref="R11" si="42">IF(M11&gt;0,($H11*$E$21),0)</f>
        <v>0</v>
      </c>
      <c r="S11" s="38" t="s">
        <v>166</v>
      </c>
      <c r="T11" s="94" t="str">
        <f t="shared" ref="T11" si="43">IF(N11=1,IF(S11="No",H11,F11),"")</f>
        <v/>
      </c>
      <c r="U11" s="122">
        <f t="shared" ref="U11" si="44">IF(S11="No",0,((H11-F11)*$E$21))</f>
        <v>0</v>
      </c>
      <c r="V11" s="122">
        <f t="shared" ref="V11" si="45">IF(S11="No",0,(-(I11-G11)*Q11))</f>
        <v>0</v>
      </c>
      <c r="W11" s="141">
        <f t="shared" ref="W11" si="46">Q11-R11+U11</f>
        <v>0</v>
      </c>
      <c r="X11" s="26">
        <f t="shared" ref="X11" si="47">IF(S11="Yes",Q11*G11,Q11*I11)</f>
        <v>0</v>
      </c>
      <c r="Y11" s="40" t="str">
        <f t="shared" si="5"/>
        <v/>
      </c>
      <c r="Z11" s="40" t="str">
        <f t="shared" si="6"/>
        <v/>
      </c>
      <c r="AA11" s="160" t="str">
        <f t="shared" ref="AA11" si="48">IF($E$22="Yes",Y11,Z11)</f>
        <v/>
      </c>
      <c r="AB11" s="169">
        <f t="shared" ref="AB11" si="49">IF($E$22="Yes",IF(Y11=1,5,IF(Y11=2,4,IF(Y11=3,3,IF(Y11=4,2,IF(Y11=5,1,0))))),IF(Z11=1,5,IF(Z11=2,4,IF(Z11=3,3,IF(Z11=4,2,IF(Z11=5,1,0))))))+K11</f>
        <v>0</v>
      </c>
      <c r="AC11" s="26">
        <f t="shared" ref="AC11" si="50">X11/$E$21</f>
        <v>0</v>
      </c>
      <c r="AD11" s="26">
        <f t="shared" ref="AD11" si="51">IF(AC11&gt;0,((X11/$E$21)-$E$30),0)</f>
        <v>0</v>
      </c>
      <c r="AE11" s="26">
        <f t="shared" ref="AE11" si="52">IF(AD11&gt;30,30,IF(AD11&lt;-30,-30,(AD11)))</f>
        <v>0</v>
      </c>
      <c r="AF11" s="47">
        <f t="shared" ref="AF11" si="53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#3'!AI11</f>
        <v>8</v>
      </c>
      <c r="AJ11" s="91" t="str">
        <f t="shared" ref="AJ11" si="54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#3'!AG12</f>
        <v>270</v>
      </c>
      <c r="G12" s="34">
        <f t="shared" si="11"/>
        <v>0.90503999999999996</v>
      </c>
      <c r="H12" s="143">
        <f>'Race #3'!AH12</f>
        <v>288</v>
      </c>
      <c r="I12" s="43">
        <f t="shared" si="12"/>
        <v>0.88382812499999996</v>
      </c>
      <c r="J12" s="450" t="str">
        <f t="shared" si="13"/>
        <v>No</v>
      </c>
      <c r="K12" s="44">
        <f t="shared" si="1"/>
        <v>0</v>
      </c>
      <c r="L12" s="139"/>
      <c r="M12" s="139"/>
      <c r="N12" s="32">
        <f t="shared" si="2"/>
        <v>0</v>
      </c>
      <c r="O12" s="129" t="str">
        <f t="shared" si="3"/>
        <v/>
      </c>
      <c r="P12" s="144">
        <f t="shared" si="35"/>
        <v>0</v>
      </c>
      <c r="Q12" s="145">
        <f t="shared" si="36"/>
        <v>0</v>
      </c>
      <c r="R12" s="146">
        <f t="shared" si="4"/>
        <v>0</v>
      </c>
      <c r="S12" s="38" t="s">
        <v>166</v>
      </c>
      <c r="T12" s="95" t="str">
        <f t="shared" si="14"/>
        <v/>
      </c>
      <c r="U12" s="147">
        <f t="shared" si="15"/>
        <v>0</v>
      </c>
      <c r="V12" s="147">
        <f t="shared" si="16"/>
        <v>0</v>
      </c>
      <c r="W12" s="145">
        <f t="shared" si="17"/>
        <v>0</v>
      </c>
      <c r="X12" s="32">
        <f t="shared" si="18"/>
        <v>0</v>
      </c>
      <c r="Y12" s="45" t="str">
        <f t="shared" si="5"/>
        <v/>
      </c>
      <c r="Z12" s="45" t="str">
        <f t="shared" si="6"/>
        <v/>
      </c>
      <c r="AA12" s="160" t="str">
        <f t="shared" si="7"/>
        <v/>
      </c>
      <c r="AB12" s="169">
        <f t="shared" si="19"/>
        <v>0</v>
      </c>
      <c r="AC12" s="32">
        <f t="shared" si="8"/>
        <v>0</v>
      </c>
      <c r="AD12" s="32">
        <f t="shared" si="9"/>
        <v>0</v>
      </c>
      <c r="AE12" s="32">
        <f t="shared" si="37"/>
        <v>0</v>
      </c>
      <c r="AF12" s="33">
        <f t="shared" si="10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#3'!AI12</f>
        <v>9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#3'!AG13</f>
        <v>218.4</v>
      </c>
      <c r="G13" s="31">
        <f t="shared" si="11"/>
        <v>0.97190721649484535</v>
      </c>
      <c r="H13" s="27">
        <f>'Race #3'!AH13</f>
        <v>259.2</v>
      </c>
      <c r="I13" s="35">
        <f t="shared" si="12"/>
        <v>0.91826298701298692</v>
      </c>
      <c r="J13" s="447" t="str">
        <f t="shared" si="13"/>
        <v>No</v>
      </c>
      <c r="K13" s="36">
        <f t="shared" si="1"/>
        <v>0</v>
      </c>
      <c r="L13" s="139"/>
      <c r="M13" s="139"/>
      <c r="N13" s="26">
        <f t="shared" si="2"/>
        <v>0</v>
      </c>
      <c r="O13" s="129" t="str">
        <f t="shared" si="3"/>
        <v/>
      </c>
      <c r="P13" s="140">
        <f t="shared" si="35"/>
        <v>0</v>
      </c>
      <c r="Q13" s="141">
        <f t="shared" si="36"/>
        <v>0</v>
      </c>
      <c r="R13" s="142">
        <f t="shared" si="4"/>
        <v>0</v>
      </c>
      <c r="S13" s="38" t="s">
        <v>166</v>
      </c>
      <c r="T13" s="94" t="str">
        <f t="shared" si="14"/>
        <v/>
      </c>
      <c r="U13" s="122">
        <f t="shared" si="15"/>
        <v>0</v>
      </c>
      <c r="V13" s="122">
        <f t="shared" si="16"/>
        <v>0</v>
      </c>
      <c r="W13" s="141">
        <f t="shared" si="17"/>
        <v>0</v>
      </c>
      <c r="X13" s="26">
        <f t="shared" si="18"/>
        <v>0</v>
      </c>
      <c r="Y13" s="40" t="str">
        <f t="shared" si="5"/>
        <v/>
      </c>
      <c r="Z13" s="40" t="str">
        <f t="shared" si="6"/>
        <v/>
      </c>
      <c r="AA13" s="160" t="str">
        <f t="shared" si="7"/>
        <v/>
      </c>
      <c r="AB13" s="169">
        <f t="shared" si="19"/>
        <v>0</v>
      </c>
      <c r="AC13" s="26">
        <f t="shared" si="8"/>
        <v>0</v>
      </c>
      <c r="AD13" s="26">
        <f t="shared" si="9"/>
        <v>0</v>
      </c>
      <c r="AE13" s="26">
        <f t="shared" si="37"/>
        <v>0</v>
      </c>
      <c r="AF13" s="47">
        <f t="shared" si="10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#3'!AI13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#3'!AG14</f>
        <v>235.6</v>
      </c>
      <c r="G14" s="34">
        <f t="shared" si="11"/>
        <v>0.94854667411961979</v>
      </c>
      <c r="H14" s="143">
        <f>'Race #3'!AH14</f>
        <v>313.2</v>
      </c>
      <c r="I14" s="43">
        <f t="shared" si="12"/>
        <v>0.85574886535552186</v>
      </c>
      <c r="J14" s="450" t="str">
        <f t="shared" si="13"/>
        <v>Yes</v>
      </c>
      <c r="K14" s="44">
        <f t="shared" si="1"/>
        <v>1</v>
      </c>
      <c r="L14" s="139">
        <v>0.70833333333333337</v>
      </c>
      <c r="M14" s="139">
        <v>0.75430555555555556</v>
      </c>
      <c r="N14" s="32">
        <f t="shared" si="2"/>
        <v>1</v>
      </c>
      <c r="O14" s="129">
        <f t="shared" si="3"/>
        <v>3</v>
      </c>
      <c r="P14" s="144">
        <f t="shared" si="35"/>
        <v>4.5972222222222192E-2</v>
      </c>
      <c r="Q14" s="145">
        <f>HOUR(P14)*3600+MINUTE(P14)*60+SECOND(P14)</f>
        <v>3972</v>
      </c>
      <c r="R14" s="146">
        <f t="shared" si="4"/>
        <v>1346.76</v>
      </c>
      <c r="S14" s="38" t="s">
        <v>166</v>
      </c>
      <c r="T14" s="95">
        <f t="shared" si="14"/>
        <v>313.2</v>
      </c>
      <c r="U14" s="147">
        <f t="shared" si="15"/>
        <v>0</v>
      </c>
      <c r="V14" s="147">
        <f t="shared" si="16"/>
        <v>0</v>
      </c>
      <c r="W14" s="145">
        <f t="shared" si="17"/>
        <v>2625.24</v>
      </c>
      <c r="X14" s="32">
        <f t="shared" si="18"/>
        <v>3399.0344931921327</v>
      </c>
      <c r="Y14" s="45">
        <f t="shared" si="5"/>
        <v>1</v>
      </c>
      <c r="Z14" s="45">
        <f t="shared" si="6"/>
        <v>1</v>
      </c>
      <c r="AA14" s="160">
        <f t="shared" si="7"/>
        <v>1</v>
      </c>
      <c r="AB14" s="169">
        <f t="shared" si="19"/>
        <v>6</v>
      </c>
      <c r="AC14" s="32">
        <f t="shared" si="8"/>
        <v>790.47313795165883</v>
      </c>
      <c r="AD14" s="32">
        <f t="shared" si="9"/>
        <v>-51.518666350042736</v>
      </c>
      <c r="AE14" s="32">
        <f t="shared" si="37"/>
        <v>-30</v>
      </c>
      <c r="AF14" s="33">
        <f t="shared" si="10"/>
        <v>-3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#3'!AI14</f>
        <v>18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#3'!AG15</f>
        <v>101.7</v>
      </c>
      <c r="G15" s="31">
        <f t="shared" si="11"/>
        <v>1.1668901495616295</v>
      </c>
      <c r="H15" s="27">
        <f>'Race #3'!AH15</f>
        <v>158.4</v>
      </c>
      <c r="I15" s="35">
        <f t="shared" si="12"/>
        <v>1.0632518796992481</v>
      </c>
      <c r="J15" s="447" t="str">
        <f t="shared" si="13"/>
        <v>No</v>
      </c>
      <c r="K15" s="36">
        <f t="shared" si="1"/>
        <v>0</v>
      </c>
      <c r="L15" s="139"/>
      <c r="M15" s="139"/>
      <c r="N15" s="26">
        <f t="shared" si="2"/>
        <v>0</v>
      </c>
      <c r="O15" s="129" t="str">
        <f t="shared" si="3"/>
        <v/>
      </c>
      <c r="P15" s="140">
        <f t="shared" si="35"/>
        <v>0</v>
      </c>
      <c r="Q15" s="141">
        <f t="shared" si="36"/>
        <v>0</v>
      </c>
      <c r="R15" s="142">
        <f t="shared" si="4"/>
        <v>0</v>
      </c>
      <c r="S15" s="38" t="s">
        <v>166</v>
      </c>
      <c r="T15" s="408" t="str">
        <f t="shared" si="14"/>
        <v/>
      </c>
      <c r="U15" s="122">
        <f t="shared" si="15"/>
        <v>0</v>
      </c>
      <c r="V15" s="122">
        <f t="shared" si="16"/>
        <v>0</v>
      </c>
      <c r="W15" s="141">
        <f t="shared" si="17"/>
        <v>0</v>
      </c>
      <c r="X15" s="26">
        <f t="shared" si="18"/>
        <v>0</v>
      </c>
      <c r="Y15" s="40" t="str">
        <f t="shared" si="5"/>
        <v/>
      </c>
      <c r="Z15" s="40" t="str">
        <f t="shared" si="6"/>
        <v/>
      </c>
      <c r="AA15" s="160" t="str">
        <f t="shared" si="7"/>
        <v/>
      </c>
      <c r="AB15" s="169">
        <f t="shared" si="19"/>
        <v>0</v>
      </c>
      <c r="AC15" s="26">
        <f t="shared" si="8"/>
        <v>0</v>
      </c>
      <c r="AD15" s="26">
        <f t="shared" si="9"/>
        <v>0</v>
      </c>
      <c r="AE15" s="26">
        <f t="shared" si="37"/>
        <v>0</v>
      </c>
      <c r="AF15" s="47">
        <f t="shared" si="10"/>
        <v>0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#3'!AI15</f>
        <v>1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#3'!AG16</f>
        <v>157.5</v>
      </c>
      <c r="G16" s="34">
        <f t="shared" si="11"/>
        <v>1.0647529411764705</v>
      </c>
      <c r="H16" s="143">
        <f>'Race #3'!AH16</f>
        <v>205.2</v>
      </c>
      <c r="I16" s="43">
        <f t="shared" si="12"/>
        <v>0.9906304728546409</v>
      </c>
      <c r="J16" s="450" t="str">
        <f t="shared" si="13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5"/>
        <v>0</v>
      </c>
      <c r="Q16" s="145">
        <f t="shared" si="36"/>
        <v>0</v>
      </c>
      <c r="R16" s="146">
        <f t="shared" si="4"/>
        <v>0</v>
      </c>
      <c r="S16" s="38" t="s">
        <v>166</v>
      </c>
      <c r="T16" s="95" t="str">
        <f t="shared" si="14"/>
        <v/>
      </c>
      <c r="U16" s="147">
        <f t="shared" si="15"/>
        <v>0</v>
      </c>
      <c r="V16" s="147">
        <f t="shared" si="16"/>
        <v>0</v>
      </c>
      <c r="W16" s="145">
        <f t="shared" si="17"/>
        <v>0</v>
      </c>
      <c r="X16" s="32">
        <f t="shared" si="18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9"/>
        <v>0</v>
      </c>
      <c r="AC16" s="32">
        <f t="shared" si="8"/>
        <v>0</v>
      </c>
      <c r="AD16" s="32">
        <f t="shared" si="9"/>
        <v>0</v>
      </c>
      <c r="AE16" s="32">
        <f t="shared" si="37"/>
        <v>0</v>
      </c>
      <c r="AF16" s="33">
        <f t="shared" si="10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#3'!AI16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>
        <f>'Race #3'!AG17</f>
        <v>46</v>
      </c>
      <c r="G17" s="401">
        <f t="shared" si="11"/>
        <v>1.2904562737642584</v>
      </c>
      <c r="H17" s="400">
        <f>'Race #3'!AH17</f>
        <v>69.36</v>
      </c>
      <c r="I17" s="402">
        <f t="shared" si="12"/>
        <v>1.2355832241153342</v>
      </c>
      <c r="J17" s="448" t="str">
        <f t="shared" si="13"/>
        <v>No</v>
      </c>
      <c r="K17" s="403">
        <f t="shared" si="1"/>
        <v>0</v>
      </c>
      <c r="L17" s="150"/>
      <c r="M17" s="150"/>
      <c r="N17" s="404">
        <f>IF(W17&gt;0,1,0)</f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4"/>
        <v/>
      </c>
      <c r="U17" s="409">
        <f t="shared" si="15"/>
        <v>0</v>
      </c>
      <c r="V17" s="409">
        <f t="shared" si="16"/>
        <v>0</v>
      </c>
      <c r="W17" s="406">
        <f t="shared" si="17"/>
        <v>0</v>
      </c>
      <c r="X17" s="404">
        <f t="shared" si="18"/>
        <v>0</v>
      </c>
      <c r="Y17" s="410" t="str">
        <f t="shared" si="5"/>
        <v/>
      </c>
      <c r="Z17" s="411" t="str">
        <f t="shared" si="6"/>
        <v/>
      </c>
      <c r="AA17" s="161" t="str">
        <f t="shared" si="7"/>
        <v/>
      </c>
      <c r="AB17" s="161">
        <f t="shared" si="19"/>
        <v>0</v>
      </c>
      <c r="AC17" s="404">
        <f t="shared" si="8"/>
        <v>0</v>
      </c>
      <c r="AD17" s="404">
        <f t="shared" si="9"/>
        <v>0</v>
      </c>
      <c r="AE17" s="404">
        <f>IF(AD17&gt;30,30,IF(AD17&lt;-30,-30,(AD17)))</f>
        <v>0</v>
      </c>
      <c r="AF17" s="412">
        <f t="shared" si="10"/>
        <v>0</v>
      </c>
      <c r="AG17" s="413">
        <f>MIN(MAX(IF(S17="Yes",F17+AF17,F17),'Roster and Starting Handicaps'!M19),'Roster and Starting Handicaps'!N19)</f>
        <v>46</v>
      </c>
      <c r="AH17" s="413">
        <f>MIN(MAX(IF(S17="No",H17+AF17,H17),'Roster and Starting Handicaps'!O19,'Roster and Starting Handicaps'!P19))</f>
        <v>69.36</v>
      </c>
      <c r="AI17" s="171">
        <f>AB17+'Race #3'!AI17</f>
        <v>0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#3'!AG18</f>
        <v>194.4</v>
      </c>
      <c r="G18" s="431">
        <f t="shared" si="11"/>
        <v>1.0064946619217081</v>
      </c>
      <c r="H18" s="430">
        <f>'Race #3'!AH18</f>
        <v>212.4</v>
      </c>
      <c r="I18" s="432">
        <f t="shared" si="12"/>
        <v>0.98032928942807629</v>
      </c>
      <c r="J18" s="451" t="str">
        <f t="shared" si="13"/>
        <v>No</v>
      </c>
      <c r="K18" s="433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5"/>
        <v>0</v>
      </c>
      <c r="Q18" s="436">
        <f t="shared" si="36"/>
        <v>0</v>
      </c>
      <c r="R18" s="437">
        <f t="shared" si="4"/>
        <v>0</v>
      </c>
      <c r="S18" s="39" t="s">
        <v>166</v>
      </c>
      <c r="T18" s="438" t="str">
        <f t="shared" si="14"/>
        <v/>
      </c>
      <c r="U18" s="439">
        <f t="shared" si="15"/>
        <v>0</v>
      </c>
      <c r="V18" s="439">
        <f>IF(S18="No",0,(-(I18-G18)*Q18))</f>
        <v>0</v>
      </c>
      <c r="W18" s="436">
        <f t="shared" si="17"/>
        <v>0</v>
      </c>
      <c r="X18" s="434">
        <f t="shared" si="18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9"/>
        <v>0</v>
      </c>
      <c r="AC18" s="434">
        <f t="shared" si="8"/>
        <v>0</v>
      </c>
      <c r="AD18" s="434">
        <f t="shared" si="9"/>
        <v>0</v>
      </c>
      <c r="AE18" s="434">
        <f t="shared" si="37"/>
        <v>0</v>
      </c>
      <c r="AF18" s="441">
        <f t="shared" si="10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Handicaps'!O20,'Roster and Starting Handicaps'!P20))</f>
        <v>212.4</v>
      </c>
      <c r="AI18" s="173">
        <f>AB18+'Race #3'!AI18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v>4.3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str">
        <f>IF($E$28&gt;0,VLOOKUP(1,$AA$4:$AJ$18,10,FALSE),"")</f>
        <v>Outrageous</v>
      </c>
      <c r="J22" s="348"/>
      <c r="K22" s="463" cm="1">
        <f t="array" ref="K22">IFERROR(VLOOKUP(I22,$B$4:$X$18,23,0)-_xlfn.MINIFS($X$4:$X$18,$X$4:$X$18,"&gt;0"),"")</f>
        <v>0</v>
      </c>
      <c r="L22" s="464"/>
      <c r="M22" s="463">
        <f>IFERROR(VLOOKUP(I22,$B$4:$W$18,22,0)-_xlfn.MINIFS($W$4:$W$18,$W$4:$W$18,"&gt;0"),"")</f>
        <v>0</v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>Second Place</v>
      </c>
      <c r="H23" s="453"/>
      <c r="I23" s="458" t="str">
        <f>IF($E$28&gt;1,VLOOKUP(2,$AA$4:$AJ$18,10,FALSE),"")</f>
        <v>KristinB II</v>
      </c>
      <c r="J23" s="459"/>
      <c r="K23" s="463">
        <f>IFERROR(VLOOKUP(I23,$B$4:$X$18,23,0)-_xlfn.MINIFS($X$4:$X$18,$X$4:$X$18,"&gt;0"),"")</f>
        <v>221.530265305184</v>
      </c>
      <c r="L23" s="464"/>
      <c r="M23" s="463">
        <f t="shared" ref="M23:M33" si="55">IFERROR(VLOOKUP(I23,$B$4:$W$18,22,0)-_xlfn.MINIFS($W$4:$W$18,$W$4:$W$18,"&gt;0"),"")</f>
        <v>132.32000000000016</v>
      </c>
      <c r="N23" s="467"/>
      <c r="P23" s="80">
        <v>2</v>
      </c>
      <c r="Q23" s="81">
        <v>1</v>
      </c>
      <c r="U23" s="380" t="s">
        <v>180</v>
      </c>
      <c r="V23" s="380"/>
      <c r="W23" s="381" t="s">
        <v>205</v>
      </c>
      <c r="X23" s="71"/>
      <c r="Y23" s="71"/>
      <c r="Z23" s="71"/>
      <c r="AA23" s="382">
        <v>1.4630000000000001</v>
      </c>
      <c r="AD23" s="380" t="s">
        <v>242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202</v>
      </c>
      <c r="G24" s="452" t="str">
        <f>IF(E28&gt;2,"Third Place","")</f>
        <v>Third Place</v>
      </c>
      <c r="H24" s="453"/>
      <c r="I24" s="458" t="str">
        <f>IF($E$28&gt;2,VLOOKUP(3,$AA$4:$AJ$18,10,FALSE),"")</f>
        <v>Cheerio</v>
      </c>
      <c r="J24" s="459"/>
      <c r="K24" s="463">
        <f t="shared" ref="K24:K33" si="56">IFERROR(VLOOKUP(I24,$B$4:$X$18,23,0)-_xlfn.MINIFS($X$4:$X$18,$X$4:$X$18,"&gt;0"),"")</f>
        <v>600.36370268415521</v>
      </c>
      <c r="L24" s="464"/>
      <c r="M24" s="463">
        <f t="shared" si="55"/>
        <v>328.26400000000012</v>
      </c>
      <c r="N24" s="467"/>
      <c r="P24" s="82">
        <v>3</v>
      </c>
      <c r="Q24" s="72">
        <v>2</v>
      </c>
      <c r="U24" s="380" t="s">
        <v>205</v>
      </c>
      <c r="V24" s="380"/>
      <c r="W24" s="381" t="s">
        <v>216</v>
      </c>
      <c r="X24" s="71"/>
      <c r="Y24" s="71"/>
      <c r="Z24" s="71"/>
      <c r="AA24" s="382">
        <v>1.698</v>
      </c>
      <c r="AD24" s="380"/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480</v>
      </c>
      <c r="G25" s="452" t="str">
        <f>IF(E28&gt;3,"Fourth Place","")</f>
        <v>Fourth Place</v>
      </c>
      <c r="H25" s="453"/>
      <c r="I25" s="458" t="str">
        <f>IF($E$28&gt;3,VLOOKUP(4,$AA$4:$AJ$18,10,FALSE),"")</f>
        <v>Grin</v>
      </c>
      <c r="J25" s="459"/>
      <c r="K25" s="463">
        <f t="shared" si="56"/>
        <v>916.37503887025923</v>
      </c>
      <c r="L25" s="464"/>
      <c r="M25" s="463">
        <f t="shared" si="55"/>
        <v>863.44000000000051</v>
      </c>
      <c r="N25" s="467"/>
      <c r="P25" s="82">
        <v>4</v>
      </c>
      <c r="Q25" s="72">
        <v>2</v>
      </c>
      <c r="U25" s="380" t="s">
        <v>216</v>
      </c>
      <c r="V25" s="380"/>
      <c r="W25" s="381" t="s">
        <v>219</v>
      </c>
      <c r="X25" s="71"/>
      <c r="Y25" s="71"/>
      <c r="Z25" s="71"/>
      <c r="AA25" s="382">
        <v>1.845</v>
      </c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/>
      </c>
      <c r="H26" s="453"/>
      <c r="I26" s="458" t="str">
        <f>IF($E$28&gt;4,VLOOKUP(5,$AA$4:$AJ$18,10,FALSE),"")</f>
        <v/>
      </c>
      <c r="J26" s="459"/>
      <c r="K26" s="463" t="str">
        <f t="shared" si="56"/>
        <v/>
      </c>
      <c r="L26" s="464"/>
      <c r="M26" s="463" t="str">
        <f t="shared" si="55"/>
        <v/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4</v>
      </c>
      <c r="G27" s="452" t="str">
        <f>IF($E$28&gt;5,"Sixth Place","")</f>
        <v/>
      </c>
      <c r="H27" s="453"/>
      <c r="I27" s="458" t="str">
        <f>IF($E$28&gt;5,VLOOKUP(6,$AA$4:$AJ$18,10,FALSE),"")</f>
        <v/>
      </c>
      <c r="J27" s="459"/>
      <c r="K27" s="463" t="str">
        <f t="shared" si="56"/>
        <v/>
      </c>
      <c r="L27" s="464"/>
      <c r="M27" s="463" t="str">
        <f t="shared" si="55"/>
        <v/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4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63" t="str">
        <f t="shared" si="56"/>
        <v/>
      </c>
      <c r="L28" s="464"/>
      <c r="M28" s="463" t="str">
        <f t="shared" si="55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>
        <f>VLOOKUP(E28,P23:Q33,2,FALSE)</f>
        <v>2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63" t="str">
        <f t="shared" si="56"/>
        <v/>
      </c>
      <c r="L29" s="464"/>
      <c r="M29" s="463" t="str">
        <f t="shared" si="55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>
        <f>VLOOKUP(E29,Z4:AC18,4,FALSE)</f>
        <v>841.99180430170156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198.77999999999997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f>SUM(AA22:AA30)</f>
        <v>5.0060000000000002</v>
      </c>
    </row>
    <row r="32" spans="2:37" ht="18" customHeight="1" x14ac:dyDescent="0.2">
      <c r="D32" s="56" t="s">
        <v>190</v>
      </c>
      <c r="E32" s="377">
        <f>E25+E31</f>
        <v>678.78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3292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17" priority="3" operator="equal">
      <formula>1</formula>
    </cfRule>
  </conditionalFormatting>
  <conditionalFormatting sqref="S4:T14 S15 S16:T18">
    <cfRule type="cellIs" dxfId="16" priority="1" operator="equal">
      <formula>"Yes"</formula>
    </cfRule>
  </conditionalFormatting>
  <dataValidations count="2">
    <dataValidation type="list" allowBlank="1" showInputMessage="1" showErrorMessage="1" sqref="J4:J18 S4:S18 E22 E26" xr:uid="{B40A1E45-2B15-2A4C-A341-708744506E5A}">
      <formula1>$AN$4:$AN$5</formula1>
    </dataValidation>
    <dataValidation type="list" allowBlank="1" showInputMessage="1" showErrorMessage="1" sqref="E24" xr:uid="{0BB1AEE3-72B9-443A-8A0A-8269458E1912}">
      <formula1>$I$37:$I$39</formula1>
    </dataValidation>
  </dataValidations>
  <printOptions horizontalCentered="1"/>
  <pageMargins left="0.7" right="0.7" top="0.75" bottom="0.75" header="0.3" footer="0.3"/>
  <pageSetup paperSize="9" scale="55" fitToWidth="2" orientation="landscape" r:id="rId1"/>
  <ignoredErrors>
    <ignoredError sqref="H18 H7 H4 H12:H16 H9:H10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A64F7-556C-0047-A451-14A5BA3468AC}">
  <sheetPr>
    <pageSetUpPr fitToPage="1"/>
  </sheetPr>
  <dimension ref="B1:AN45"/>
  <sheetViews>
    <sheetView zoomScaleNormal="100" workbookViewId="0">
      <selection activeCell="S41" sqref="S41:S42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208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thickTop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#4'!AG4</f>
        <v>110.1</v>
      </c>
      <c r="G4" s="87">
        <f>$E$32/($E$25+F4)</f>
        <v>1.2573852446598999</v>
      </c>
      <c r="H4" s="132">
        <f>'Race #4'!AH4</f>
        <v>151.19999999999999</v>
      </c>
      <c r="I4" s="88">
        <f>$E$32/($E$25+H4)</f>
        <v>1.1836851112378779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52">
        <f>IF(S4="No",0,(-(I4-G4)*Q4))</f>
        <v>0</v>
      </c>
      <c r="W4" s="153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 t="shared" ref="AC4:AC18" si="8">X4/$E$21</f>
        <v>0</v>
      </c>
      <c r="AD4" s="85">
        <f t="shared" ref="AD4:AD18" si="9">IF(AC4&gt;0,((X4/$E$21)-$E$30),0)</f>
        <v>0</v>
      </c>
      <c r="AE4" s="85">
        <f>IF(AD4&gt;30,30,IF(AD4&lt;-30,-30,(AD4)))</f>
        <v>0</v>
      </c>
      <c r="AF4" s="90">
        <f t="shared" ref="AF4:AF18" si="10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#4'!AI4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#4'!AG5</f>
        <v>87</v>
      </c>
      <c r="G5" s="31">
        <f t="shared" ref="G5:G18" si="11">$E$32/($E$25+F5)</f>
        <v>1.3029827315541602</v>
      </c>
      <c r="H5" s="27">
        <f>'Race #4'!AH5</f>
        <v>132</v>
      </c>
      <c r="I5" s="35">
        <f t="shared" ref="I5:I18" si="12">$E$32/($E$25+H5)</f>
        <v>1.217008797653959</v>
      </c>
      <c r="J5" s="447" t="str">
        <f t="shared" ref="J5:J18" si="13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3"/>
        <v/>
      </c>
      <c r="P5" s="140">
        <f>M5-L5</f>
        <v>0</v>
      </c>
      <c r="Q5" s="141">
        <f>HOUR(P5)*3600+MINUTE(P5)*60+SECOND(P5)</f>
        <v>0</v>
      </c>
      <c r="R5" s="142">
        <f t="shared" si="4"/>
        <v>0</v>
      </c>
      <c r="S5" s="38" t="s">
        <v>166</v>
      </c>
      <c r="T5" s="94" t="str">
        <f t="shared" ref="T5:T18" si="14">IF(N5=1,IF(S5="No",H5,F5),"")</f>
        <v/>
      </c>
      <c r="U5" s="122">
        <f t="shared" ref="U5:U18" si="15">IF(S5="No",0,((H5-F5)*$E$21))</f>
        <v>0</v>
      </c>
      <c r="V5" s="122">
        <f t="shared" ref="V5:V17" si="16">IF(S5="No",0,(-(I5-G5)*Q5))</f>
        <v>0</v>
      </c>
      <c r="W5" s="141">
        <f t="shared" ref="W5:W18" si="17">Q5-R5+U5</f>
        <v>0</v>
      </c>
      <c r="X5" s="26">
        <f t="shared" ref="X5:X18" si="18">IF(S5="Yes",Q5*G5,Q5*I5)</f>
        <v>0</v>
      </c>
      <c r="Y5" s="40" t="str">
        <f t="shared" si="5"/>
        <v/>
      </c>
      <c r="Z5" s="40" t="str">
        <f t="shared" si="6"/>
        <v/>
      </c>
      <c r="AA5" s="160" t="str">
        <f t="shared" si="7"/>
        <v/>
      </c>
      <c r="AB5" s="169">
        <f t="shared" ref="AB5:AB18" si="19">IF($E$22="Yes",IF(Y5=1,5,IF(Y5=2,4,IF(Y5=3,3,IF(Y5=4,2,IF(Y5=5,1,0))))),IF(Z5=1,5,IF(Z5=2,4,IF(Z5=3,3,IF(Z5=4,2,IF(Z5=5,1,0))))))+K5</f>
        <v>0</v>
      </c>
      <c r="AC5" s="26">
        <f t="shared" si="8"/>
        <v>0</v>
      </c>
      <c r="AD5" s="26">
        <f t="shared" si="9"/>
        <v>0</v>
      </c>
      <c r="AE5" s="26">
        <f>IF(AD5&gt;30,30,IF(AD5&lt;-30,-30,(AD5)))</f>
        <v>0</v>
      </c>
      <c r="AF5" s="47">
        <f t="shared" si="10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#4'!AI5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>
        <f>'Race #4'!AG6</f>
        <v>54</v>
      </c>
      <c r="G6" s="34">
        <f t="shared" ref="G6" si="20">$E$32/($E$25+F6)</f>
        <v>1.3741721854304636</v>
      </c>
      <c r="H6" s="143">
        <f>'Race #4'!AH6</f>
        <v>81.719999999999985</v>
      </c>
      <c r="I6" s="43">
        <f t="shared" ref="I6" si="21">$E$32/($E$25+H6)</f>
        <v>1.3138732349775217</v>
      </c>
      <c r="J6" s="450" t="str">
        <f t="shared" si="13"/>
        <v>No</v>
      </c>
      <c r="K6" s="44">
        <f t="shared" ref="K6" si="22">IF(J6="Yes",1,0)</f>
        <v>0</v>
      </c>
      <c r="L6" s="139"/>
      <c r="M6" s="139"/>
      <c r="N6" s="32">
        <f>IF(W6&gt;0,1,0)</f>
        <v>0</v>
      </c>
      <c r="O6" s="129" t="str">
        <f t="shared" si="3"/>
        <v/>
      </c>
      <c r="P6" s="144">
        <f>M6-L6</f>
        <v>0</v>
      </c>
      <c r="Q6" s="145">
        <f>HOUR(P6)*3600+MINUTE(P6)*60+SECOND(P6)</f>
        <v>0</v>
      </c>
      <c r="R6" s="146">
        <f t="shared" ref="R6" si="23">IF(M6&gt;0,($H6*$E$21),0)</f>
        <v>0</v>
      </c>
      <c r="S6" s="38" t="s">
        <v>166</v>
      </c>
      <c r="T6" s="95" t="str">
        <f t="shared" ref="T6" si="24">IF(N6=1,IF(S6="No",H6,F6),"")</f>
        <v/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0</v>
      </c>
      <c r="X6" s="32">
        <f t="shared" ref="X6" si="28">IF(S6="Yes",Q6*G6,Q6*I6)</f>
        <v>0</v>
      </c>
      <c r="Y6" s="45" t="str">
        <f t="shared" si="5"/>
        <v/>
      </c>
      <c r="Z6" s="45" t="str">
        <f t="shared" si="6"/>
        <v/>
      </c>
      <c r="AA6" s="160" t="str">
        <f t="shared" ref="AA6" si="29">IF($E$22="Yes",Y6,Z6)</f>
        <v/>
      </c>
      <c r="AB6" s="169">
        <f t="shared" ref="AB6" si="30">IF($E$22="Yes",IF(Y6=1,5,IF(Y6=2,4,IF(Y6=3,3,IF(Y6=4,2,IF(Y6=5,1,0))))),IF(Z6=1,5,IF(Z6=2,4,IF(Z6=3,3,IF(Z6=4,2,IF(Z6=5,1,0))))))+K6</f>
        <v>0</v>
      </c>
      <c r="AC6" s="32">
        <f t="shared" ref="AC6" si="31">X6/$E$21</f>
        <v>0</v>
      </c>
      <c r="AD6" s="32">
        <f t="shared" ref="AD6" si="32">IF(AC6&gt;0,((X6/$E$21)-$E$30),0)</f>
        <v>0</v>
      </c>
      <c r="AE6" s="32">
        <f>IF(AD6&gt;30,30,IF(AD6&lt;-30,-30,(AD6)))</f>
        <v>0</v>
      </c>
      <c r="AF6" s="33">
        <f t="shared" ref="AF6" si="33">AE6*$E$23</f>
        <v>0</v>
      </c>
      <c r="AG6" s="166">
        <f>MIN(MAX(IF(S6="Yes",F6+AF6,F6),'Roster and Starting Handicaps'!M8),'Roster and Starting Handicaps'!N8)</f>
        <v>54</v>
      </c>
      <c r="AH6" s="166">
        <f>MIN(MAX(IF(S6="No",H6+AF6,H6),'Roster and Starting Handicaps'!O8,'Roster and Starting Handicaps'!P8))</f>
        <v>81.719999999999985</v>
      </c>
      <c r="AI6" s="170">
        <f>AB6+'Race #4'!AI6</f>
        <v>5</v>
      </c>
      <c r="AJ6" s="125" t="str">
        <f t="shared" ref="AJ6" si="34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#4'!AG7</f>
        <v>195</v>
      </c>
      <c r="G7" s="31">
        <f t="shared" si="11"/>
        <v>1.1140939597315436</v>
      </c>
      <c r="H7" s="27">
        <f>'Race #4'!AH7</f>
        <v>241.2</v>
      </c>
      <c r="I7" s="35">
        <f t="shared" si="12"/>
        <v>1.0490394337714863</v>
      </c>
      <c r="J7" s="447" t="str">
        <f t="shared" si="13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4"/>
        <v>0</v>
      </c>
      <c r="S7" s="38" t="s">
        <v>166</v>
      </c>
      <c r="T7" s="94" t="str">
        <f t="shared" si="14"/>
        <v/>
      </c>
      <c r="U7" s="122">
        <f t="shared" si="15"/>
        <v>0</v>
      </c>
      <c r="V7" s="122">
        <f t="shared" si="16"/>
        <v>0</v>
      </c>
      <c r="W7" s="141">
        <f t="shared" si="17"/>
        <v>0</v>
      </c>
      <c r="X7" s="26">
        <f t="shared" si="18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9"/>
        <v>0</v>
      </c>
      <c r="AC7" s="26">
        <f t="shared" si="8"/>
        <v>0</v>
      </c>
      <c r="AD7" s="26">
        <f t="shared" si="9"/>
        <v>0</v>
      </c>
      <c r="AE7" s="26">
        <f t="shared" ref="AE7:AE18" si="37">IF(AD7&gt;30,30,IF(AD7&lt;-30,-30,(AD7)))</f>
        <v>0</v>
      </c>
      <c r="AF7" s="47">
        <f t="shared" si="10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#4'!AI7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#4'!AG8</f>
        <v>164.2</v>
      </c>
      <c r="G8" s="34">
        <f t="shared" si="11"/>
        <v>1.162139456734808</v>
      </c>
      <c r="H8" s="143">
        <f>'Race #4'!AH8</f>
        <v>202.79999999999998</v>
      </c>
      <c r="I8" s="43">
        <f t="shared" si="12"/>
        <v>1.1025504782146653</v>
      </c>
      <c r="J8" s="450" t="str">
        <f t="shared" si="13"/>
        <v>No</v>
      </c>
      <c r="K8" s="44">
        <f t="shared" si="1"/>
        <v>0</v>
      </c>
      <c r="L8" s="139"/>
      <c r="M8" s="139"/>
      <c r="N8" s="32">
        <f>IF(W8&gt;0,1,0)</f>
        <v>0</v>
      </c>
      <c r="O8" s="129" t="str">
        <f t="shared" si="3"/>
        <v/>
      </c>
      <c r="P8" s="144">
        <f>M8-L8</f>
        <v>0</v>
      </c>
      <c r="Q8" s="145">
        <f>HOUR(P8)*3600+MINUTE(P8)*60+SECOND(P8)</f>
        <v>0</v>
      </c>
      <c r="R8" s="146">
        <f t="shared" si="4"/>
        <v>0</v>
      </c>
      <c r="S8" s="38" t="s">
        <v>166</v>
      </c>
      <c r="T8" s="95" t="str">
        <f t="shared" si="14"/>
        <v/>
      </c>
      <c r="U8" s="147">
        <f t="shared" si="15"/>
        <v>0</v>
      </c>
      <c r="V8" s="147">
        <f t="shared" si="16"/>
        <v>0</v>
      </c>
      <c r="W8" s="145">
        <f t="shared" si="17"/>
        <v>0</v>
      </c>
      <c r="X8" s="32">
        <f t="shared" si="18"/>
        <v>0</v>
      </c>
      <c r="Y8" s="45" t="str">
        <f t="shared" si="5"/>
        <v/>
      </c>
      <c r="Z8" s="45" t="str">
        <f t="shared" si="6"/>
        <v/>
      </c>
      <c r="AA8" s="160" t="str">
        <f t="shared" si="7"/>
        <v/>
      </c>
      <c r="AB8" s="169">
        <f t="shared" si="19"/>
        <v>0</v>
      </c>
      <c r="AC8" s="32">
        <f t="shared" si="8"/>
        <v>0</v>
      </c>
      <c r="AD8" s="32">
        <f t="shared" si="9"/>
        <v>0</v>
      </c>
      <c r="AE8" s="32">
        <f>IF(AD8&gt;30,30,IF(AD8&lt;-30,-30,(AD8)))</f>
        <v>0</v>
      </c>
      <c r="AF8" s="33">
        <f t="shared" si="10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#4'!AI8</f>
        <v>10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#4'!AG9</f>
        <v>194.4</v>
      </c>
      <c r="G9" s="31">
        <f t="shared" si="11"/>
        <v>1.1149919398173025</v>
      </c>
      <c r="H9" s="27">
        <f>'Race #4'!AH9</f>
        <v>215.4</v>
      </c>
      <c r="I9" s="35">
        <f t="shared" si="12"/>
        <v>1.0844003135615365</v>
      </c>
      <c r="J9" s="447" t="str">
        <f t="shared" si="13"/>
        <v>No</v>
      </c>
      <c r="K9" s="36">
        <f t="shared" si="1"/>
        <v>0</v>
      </c>
      <c r="L9" s="139"/>
      <c r="M9" s="139"/>
      <c r="N9" s="26">
        <f t="shared" si="2"/>
        <v>0</v>
      </c>
      <c r="O9" s="129" t="str">
        <f t="shared" si="3"/>
        <v/>
      </c>
      <c r="P9" s="140">
        <f t="shared" si="35"/>
        <v>0</v>
      </c>
      <c r="Q9" s="141">
        <f t="shared" si="36"/>
        <v>0</v>
      </c>
      <c r="R9" s="142">
        <f t="shared" si="4"/>
        <v>0</v>
      </c>
      <c r="S9" s="38" t="s">
        <v>166</v>
      </c>
      <c r="T9" s="94" t="str">
        <f t="shared" si="14"/>
        <v/>
      </c>
      <c r="U9" s="122">
        <f t="shared" si="15"/>
        <v>0</v>
      </c>
      <c r="V9" s="122">
        <f t="shared" si="16"/>
        <v>0</v>
      </c>
      <c r="W9" s="141">
        <f t="shared" si="17"/>
        <v>0</v>
      </c>
      <c r="X9" s="26">
        <f t="shared" si="18"/>
        <v>0</v>
      </c>
      <c r="Y9" s="40" t="str">
        <f t="shared" si="5"/>
        <v/>
      </c>
      <c r="Z9" s="40" t="str">
        <f t="shared" si="6"/>
        <v/>
      </c>
      <c r="AA9" s="160" t="str">
        <f t="shared" si="7"/>
        <v/>
      </c>
      <c r="AB9" s="169">
        <f t="shared" si="19"/>
        <v>0</v>
      </c>
      <c r="AC9" s="26">
        <f t="shared" si="8"/>
        <v>0</v>
      </c>
      <c r="AD9" s="26">
        <f t="shared" si="9"/>
        <v>0</v>
      </c>
      <c r="AE9" s="26">
        <f t="shared" si="37"/>
        <v>0</v>
      </c>
      <c r="AF9" s="47">
        <f t="shared" si="10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215.4</v>
      </c>
      <c r="AI9" s="170">
        <f>AB9+'Race #4'!AI9</f>
        <v>9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#4'!AG10</f>
        <v>162</v>
      </c>
      <c r="G10" s="34">
        <f t="shared" si="11"/>
        <v>1.1657303370786516</v>
      </c>
      <c r="H10" s="143">
        <f>'Race #4'!AH10</f>
        <v>190.79999999999998</v>
      </c>
      <c r="I10" s="43">
        <f t="shared" si="12"/>
        <v>1.1204103671706265</v>
      </c>
      <c r="J10" s="450" t="str">
        <f t="shared" si="13"/>
        <v>No</v>
      </c>
      <c r="K10" s="44">
        <f t="shared" si="1"/>
        <v>0</v>
      </c>
      <c r="L10" s="139"/>
      <c r="M10" s="139"/>
      <c r="N10" s="32">
        <f t="shared" si="2"/>
        <v>0</v>
      </c>
      <c r="O10" s="129" t="str">
        <f t="shared" si="3"/>
        <v/>
      </c>
      <c r="P10" s="144">
        <f t="shared" si="35"/>
        <v>0</v>
      </c>
      <c r="Q10" s="145">
        <f t="shared" si="36"/>
        <v>0</v>
      </c>
      <c r="R10" s="146">
        <f t="shared" si="4"/>
        <v>0</v>
      </c>
      <c r="S10" s="38" t="s">
        <v>166</v>
      </c>
      <c r="T10" s="95" t="str">
        <f t="shared" si="14"/>
        <v/>
      </c>
      <c r="U10" s="147">
        <f t="shared" si="15"/>
        <v>0</v>
      </c>
      <c r="V10" s="147">
        <f t="shared" si="16"/>
        <v>0</v>
      </c>
      <c r="W10" s="145">
        <f t="shared" si="17"/>
        <v>0</v>
      </c>
      <c r="X10" s="32">
        <f t="shared" si="18"/>
        <v>0</v>
      </c>
      <c r="Y10" s="45" t="str">
        <f t="shared" si="5"/>
        <v/>
      </c>
      <c r="Z10" s="45" t="str">
        <f t="shared" si="6"/>
        <v/>
      </c>
      <c r="AA10" s="160" t="str">
        <f t="shared" si="7"/>
        <v/>
      </c>
      <c r="AB10" s="169">
        <f t="shared" si="19"/>
        <v>0</v>
      </c>
      <c r="AC10" s="32">
        <f t="shared" si="8"/>
        <v>0</v>
      </c>
      <c r="AD10" s="32">
        <f t="shared" si="9"/>
        <v>0</v>
      </c>
      <c r="AE10" s="32">
        <f t="shared" si="37"/>
        <v>0</v>
      </c>
      <c r="AF10" s="33">
        <f t="shared" si="10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#4'!AI10</f>
        <v>13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#4'!AG11</f>
        <v>280</v>
      </c>
      <c r="G11" s="31">
        <f t="shared" ref="G11" si="38">$E$32/($E$25+F11)</f>
        <v>1</v>
      </c>
      <c r="H11" s="27">
        <f>'Race #4'!AH11</f>
        <v>345.59999999999997</v>
      </c>
      <c r="I11" s="35">
        <f t="shared" ref="I11" si="39">$E$32/($E$25+H11)</f>
        <v>0.92675301473872274</v>
      </c>
      <c r="J11" s="447" t="str">
        <f t="shared" si="13"/>
        <v>No</v>
      </c>
      <c r="K11" s="36">
        <f t="shared" si="1"/>
        <v>0</v>
      </c>
      <c r="L11" s="139"/>
      <c r="M11" s="139"/>
      <c r="N11" s="26">
        <f t="shared" si="2"/>
        <v>1</v>
      </c>
      <c r="O11" s="129" t="str">
        <f t="shared" si="3"/>
        <v/>
      </c>
      <c r="P11" s="140">
        <f t="shared" ref="P11" si="40">M11-L11</f>
        <v>0</v>
      </c>
      <c r="Q11" s="141">
        <f t="shared" ref="Q11" si="41">HOUR(P11)*3600+MINUTE(P11)*60+SECOND(P11)</f>
        <v>0</v>
      </c>
      <c r="R11" s="142">
        <f t="shared" ref="R11" si="42">IF(M11&gt;0,($H11*$E$21),0)</f>
        <v>0</v>
      </c>
      <c r="S11" s="38"/>
      <c r="T11" s="94">
        <f t="shared" ref="T11" si="43">IF(N11=1,IF(S11="No",H11,F11),"")</f>
        <v>280</v>
      </c>
      <c r="U11" s="122">
        <f t="shared" ref="U11" si="44">IF(S11="No",0,((H11-F11)*$E$21))</f>
        <v>327.99999999999983</v>
      </c>
      <c r="V11" s="122">
        <f t="shared" ref="V11" si="45">IF(S11="No",0,(-(I11-G11)*Q11))</f>
        <v>0</v>
      </c>
      <c r="W11" s="141">
        <f t="shared" ref="W11" si="46">Q11-R11+U11</f>
        <v>327.99999999999983</v>
      </c>
      <c r="X11" s="26">
        <f t="shared" ref="X11" si="47">IF(S11="Yes",Q11*G11,Q11*I11)</f>
        <v>0</v>
      </c>
      <c r="Y11" s="40">
        <f t="shared" si="5"/>
        <v>1</v>
      </c>
      <c r="Z11" s="40" t="str">
        <f t="shared" si="6"/>
        <v/>
      </c>
      <c r="AA11" s="160" t="str">
        <f t="shared" ref="AA11" si="48">IF($E$22="Yes",Y11,Z11)</f>
        <v/>
      </c>
      <c r="AB11" s="169">
        <f t="shared" ref="AB11" si="49">IF($E$22="Yes",IF(Y11=1,5,IF(Y11=2,4,IF(Y11=3,3,IF(Y11=4,2,IF(Y11=5,1,0))))),IF(Z11=1,5,IF(Z11=2,4,IF(Z11=3,3,IF(Z11=4,2,IF(Z11=5,1,0))))))+K11</f>
        <v>0</v>
      </c>
      <c r="AC11" s="26">
        <f t="shared" ref="AC11" si="50">X11/$E$21</f>
        <v>0</v>
      </c>
      <c r="AD11" s="26">
        <f t="shared" ref="AD11" si="51">IF(AC11&gt;0,((X11/$E$21)-$E$30),0)</f>
        <v>0</v>
      </c>
      <c r="AE11" s="26">
        <f t="shared" ref="AE11" si="52">IF(AD11&gt;30,30,IF(AD11&lt;-30,-30,(AD11)))</f>
        <v>0</v>
      </c>
      <c r="AF11" s="47">
        <f t="shared" ref="AF11" si="53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#4'!AI11</f>
        <v>8</v>
      </c>
      <c r="AJ11" s="91" t="str">
        <f t="shared" ref="AJ11" si="54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#4'!AG12</f>
        <v>270</v>
      </c>
      <c r="G12" s="34">
        <f t="shared" si="11"/>
        <v>1.0121951219512195</v>
      </c>
      <c r="H12" s="143">
        <f>'Race #4'!AH12</f>
        <v>288</v>
      </c>
      <c r="I12" s="43">
        <f t="shared" si="12"/>
        <v>0.99045346062052508</v>
      </c>
      <c r="J12" s="450" t="str">
        <f t="shared" si="13"/>
        <v>No</v>
      </c>
      <c r="K12" s="44">
        <f t="shared" si="1"/>
        <v>0</v>
      </c>
      <c r="L12" s="139"/>
      <c r="M12" s="139"/>
      <c r="N12" s="32">
        <f t="shared" si="2"/>
        <v>0</v>
      </c>
      <c r="O12" s="129" t="str">
        <f t="shared" si="3"/>
        <v/>
      </c>
      <c r="P12" s="144">
        <f t="shared" si="35"/>
        <v>0</v>
      </c>
      <c r="Q12" s="145">
        <f t="shared" si="36"/>
        <v>0</v>
      </c>
      <c r="R12" s="146">
        <f t="shared" si="4"/>
        <v>0</v>
      </c>
      <c r="S12" s="38" t="s">
        <v>166</v>
      </c>
      <c r="T12" s="95" t="str">
        <f t="shared" si="14"/>
        <v/>
      </c>
      <c r="U12" s="147">
        <f t="shared" si="15"/>
        <v>0</v>
      </c>
      <c r="V12" s="147">
        <f t="shared" si="16"/>
        <v>0</v>
      </c>
      <c r="W12" s="145">
        <f t="shared" si="17"/>
        <v>0</v>
      </c>
      <c r="X12" s="32">
        <f t="shared" si="18"/>
        <v>0</v>
      </c>
      <c r="Y12" s="45" t="str">
        <f t="shared" si="5"/>
        <v/>
      </c>
      <c r="Z12" s="45" t="str">
        <f t="shared" si="6"/>
        <v/>
      </c>
      <c r="AA12" s="160" t="str">
        <f t="shared" si="7"/>
        <v/>
      </c>
      <c r="AB12" s="169">
        <f t="shared" si="19"/>
        <v>0</v>
      </c>
      <c r="AC12" s="32">
        <f t="shared" si="8"/>
        <v>0</v>
      </c>
      <c r="AD12" s="32">
        <f t="shared" si="9"/>
        <v>0</v>
      </c>
      <c r="AE12" s="32">
        <f t="shared" si="37"/>
        <v>0</v>
      </c>
      <c r="AF12" s="33">
        <f t="shared" si="10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#4'!AI12</f>
        <v>9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#4'!AG13</f>
        <v>218.4</v>
      </c>
      <c r="G13" s="31">
        <f t="shared" si="11"/>
        <v>1.0801665799062989</v>
      </c>
      <c r="H13" s="27">
        <f>'Race #4'!AH13</f>
        <v>259.2</v>
      </c>
      <c r="I13" s="35">
        <f t="shared" si="12"/>
        <v>1.0257043994068216</v>
      </c>
      <c r="J13" s="447" t="str">
        <f t="shared" si="13"/>
        <v>No</v>
      </c>
      <c r="K13" s="36">
        <f t="shared" si="1"/>
        <v>0</v>
      </c>
      <c r="L13" s="139"/>
      <c r="M13" s="139"/>
      <c r="N13" s="26">
        <f t="shared" si="2"/>
        <v>0</v>
      </c>
      <c r="O13" s="129" t="str">
        <f t="shared" si="3"/>
        <v/>
      </c>
      <c r="P13" s="140">
        <f t="shared" si="35"/>
        <v>0</v>
      </c>
      <c r="Q13" s="141">
        <f t="shared" si="36"/>
        <v>0</v>
      </c>
      <c r="R13" s="142">
        <f t="shared" si="4"/>
        <v>0</v>
      </c>
      <c r="S13" s="38" t="s">
        <v>166</v>
      </c>
      <c r="T13" s="94" t="str">
        <f t="shared" si="14"/>
        <v/>
      </c>
      <c r="U13" s="122">
        <f t="shared" si="15"/>
        <v>0</v>
      </c>
      <c r="V13" s="122">
        <f t="shared" si="16"/>
        <v>0</v>
      </c>
      <c r="W13" s="141">
        <f t="shared" si="17"/>
        <v>0</v>
      </c>
      <c r="X13" s="26">
        <f t="shared" si="18"/>
        <v>0</v>
      </c>
      <c r="Y13" s="40" t="str">
        <f t="shared" si="5"/>
        <v/>
      </c>
      <c r="Z13" s="40" t="str">
        <f t="shared" si="6"/>
        <v/>
      </c>
      <c r="AA13" s="160" t="str">
        <f t="shared" si="7"/>
        <v/>
      </c>
      <c r="AB13" s="169">
        <f t="shared" si="19"/>
        <v>0</v>
      </c>
      <c r="AC13" s="26">
        <f t="shared" si="8"/>
        <v>0</v>
      </c>
      <c r="AD13" s="26">
        <f t="shared" si="9"/>
        <v>0</v>
      </c>
      <c r="AE13" s="26">
        <f t="shared" si="37"/>
        <v>0</v>
      </c>
      <c r="AF13" s="47">
        <f t="shared" si="10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#4'!AI13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#4'!AG14</f>
        <v>235.6</v>
      </c>
      <c r="G14" s="34">
        <f t="shared" si="11"/>
        <v>1.0565173116089612</v>
      </c>
      <c r="H14" s="143">
        <f>'Race #4'!AH14</f>
        <v>313.2</v>
      </c>
      <c r="I14" s="43">
        <f t="shared" si="12"/>
        <v>0.96153846153846145</v>
      </c>
      <c r="J14" s="450" t="str">
        <f t="shared" si="13"/>
        <v>No</v>
      </c>
      <c r="K14" s="44">
        <f t="shared" si="1"/>
        <v>0</v>
      </c>
      <c r="L14" s="139"/>
      <c r="M14" s="139"/>
      <c r="N14" s="32">
        <f t="shared" si="2"/>
        <v>0</v>
      </c>
      <c r="O14" s="129" t="str">
        <f t="shared" si="3"/>
        <v/>
      </c>
      <c r="P14" s="144">
        <f t="shared" si="35"/>
        <v>0</v>
      </c>
      <c r="Q14" s="145">
        <f>HOUR(P14)*3600+MINUTE(P14)*60+SECOND(P14)</f>
        <v>0</v>
      </c>
      <c r="R14" s="146">
        <f t="shared" si="4"/>
        <v>0</v>
      </c>
      <c r="S14" s="38" t="s">
        <v>166</v>
      </c>
      <c r="T14" s="95" t="str">
        <f t="shared" si="14"/>
        <v/>
      </c>
      <c r="U14" s="147">
        <f t="shared" si="15"/>
        <v>0</v>
      </c>
      <c r="V14" s="147">
        <f t="shared" si="16"/>
        <v>0</v>
      </c>
      <c r="W14" s="145">
        <f t="shared" si="17"/>
        <v>0</v>
      </c>
      <c r="X14" s="32">
        <f t="shared" si="18"/>
        <v>0</v>
      </c>
      <c r="Y14" s="45" t="str">
        <f t="shared" si="5"/>
        <v/>
      </c>
      <c r="Z14" s="45" t="str">
        <f t="shared" si="6"/>
        <v/>
      </c>
      <c r="AA14" s="160" t="str">
        <f t="shared" si="7"/>
        <v/>
      </c>
      <c r="AB14" s="169">
        <f t="shared" si="19"/>
        <v>0</v>
      </c>
      <c r="AC14" s="32">
        <f t="shared" si="8"/>
        <v>0</v>
      </c>
      <c r="AD14" s="32">
        <f t="shared" si="9"/>
        <v>0</v>
      </c>
      <c r="AE14" s="32">
        <f t="shared" si="37"/>
        <v>0</v>
      </c>
      <c r="AF14" s="33">
        <f t="shared" si="10"/>
        <v>0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#4'!AI14</f>
        <v>18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#4'!AG15</f>
        <v>101.7</v>
      </c>
      <c r="G15" s="31">
        <f t="shared" si="11"/>
        <v>1.2735921436243669</v>
      </c>
      <c r="H15" s="27">
        <f>'Race #4'!AH15</f>
        <v>158.4</v>
      </c>
      <c r="I15" s="35">
        <f t="shared" si="12"/>
        <v>1.1716544325239977</v>
      </c>
      <c r="J15" s="447" t="str">
        <f t="shared" si="13"/>
        <v>No</v>
      </c>
      <c r="K15" s="36">
        <f t="shared" si="1"/>
        <v>0</v>
      </c>
      <c r="L15" s="139"/>
      <c r="M15" s="139"/>
      <c r="N15" s="26">
        <f t="shared" si="2"/>
        <v>0</v>
      </c>
      <c r="O15" s="129" t="str">
        <f t="shared" si="3"/>
        <v/>
      </c>
      <c r="P15" s="140">
        <f t="shared" si="35"/>
        <v>0</v>
      </c>
      <c r="Q15" s="141">
        <f t="shared" si="36"/>
        <v>0</v>
      </c>
      <c r="R15" s="142">
        <f t="shared" si="4"/>
        <v>0</v>
      </c>
      <c r="S15" s="38" t="s">
        <v>166</v>
      </c>
      <c r="T15" s="408" t="str">
        <f t="shared" si="14"/>
        <v/>
      </c>
      <c r="U15" s="122">
        <f t="shared" si="15"/>
        <v>0</v>
      </c>
      <c r="V15" s="122">
        <f t="shared" si="16"/>
        <v>0</v>
      </c>
      <c r="W15" s="141">
        <f t="shared" si="17"/>
        <v>0</v>
      </c>
      <c r="X15" s="26">
        <f t="shared" si="18"/>
        <v>0</v>
      </c>
      <c r="Y15" s="40" t="str">
        <f t="shared" si="5"/>
        <v/>
      </c>
      <c r="Z15" s="40" t="str">
        <f t="shared" si="6"/>
        <v/>
      </c>
      <c r="AA15" s="160" t="str">
        <f t="shared" si="7"/>
        <v/>
      </c>
      <c r="AB15" s="169">
        <f t="shared" si="19"/>
        <v>0</v>
      </c>
      <c r="AC15" s="26">
        <f t="shared" si="8"/>
        <v>0</v>
      </c>
      <c r="AD15" s="26">
        <f t="shared" si="9"/>
        <v>0</v>
      </c>
      <c r="AE15" s="26">
        <f t="shared" si="37"/>
        <v>0</v>
      </c>
      <c r="AF15" s="47">
        <f t="shared" si="10"/>
        <v>0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#4'!AI15</f>
        <v>1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#4'!AG16</f>
        <v>157.5</v>
      </c>
      <c r="G16" s="34">
        <f t="shared" si="11"/>
        <v>1.1731448763250882</v>
      </c>
      <c r="H16" s="143">
        <f>'Race #4'!AH16</f>
        <v>205.2</v>
      </c>
      <c r="I16" s="43">
        <f t="shared" si="12"/>
        <v>1.0990466101694916</v>
      </c>
      <c r="J16" s="450" t="str">
        <f t="shared" si="13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5"/>
        <v>0</v>
      </c>
      <c r="Q16" s="145">
        <f t="shared" si="36"/>
        <v>0</v>
      </c>
      <c r="R16" s="146">
        <f t="shared" si="4"/>
        <v>0</v>
      </c>
      <c r="S16" s="38" t="s">
        <v>166</v>
      </c>
      <c r="T16" s="95" t="str">
        <f t="shared" si="14"/>
        <v/>
      </c>
      <c r="U16" s="147">
        <f t="shared" si="15"/>
        <v>0</v>
      </c>
      <c r="V16" s="147">
        <f t="shared" si="16"/>
        <v>0</v>
      </c>
      <c r="W16" s="145">
        <f t="shared" si="17"/>
        <v>0</v>
      </c>
      <c r="X16" s="32">
        <f t="shared" si="18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9"/>
        <v>0</v>
      </c>
      <c r="AC16" s="32">
        <f t="shared" si="8"/>
        <v>0</v>
      </c>
      <c r="AD16" s="32">
        <f t="shared" si="9"/>
        <v>0</v>
      </c>
      <c r="AE16" s="32">
        <f t="shared" si="37"/>
        <v>0</v>
      </c>
      <c r="AF16" s="33">
        <f t="shared" si="10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#4'!AI16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>
        <f>'Race #4'!AG17</f>
        <v>46</v>
      </c>
      <c r="G17" s="401">
        <f t="shared" si="11"/>
        <v>1.3926174496644295</v>
      </c>
      <c r="H17" s="400">
        <f>'Race #4'!AH17</f>
        <v>69.36</v>
      </c>
      <c r="I17" s="402">
        <f t="shared" si="12"/>
        <v>1.3400929992250064</v>
      </c>
      <c r="J17" s="448" t="str">
        <f t="shared" si="13"/>
        <v>No</v>
      </c>
      <c r="K17" s="403">
        <f t="shared" si="1"/>
        <v>0</v>
      </c>
      <c r="L17" s="139"/>
      <c r="M17" s="150"/>
      <c r="N17" s="404">
        <f>IF(W17&gt;0,1,0)</f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4"/>
        <v/>
      </c>
      <c r="U17" s="409">
        <f t="shared" si="15"/>
        <v>0</v>
      </c>
      <c r="V17" s="409">
        <f t="shared" si="16"/>
        <v>0</v>
      </c>
      <c r="W17" s="406">
        <f t="shared" si="17"/>
        <v>0</v>
      </c>
      <c r="X17" s="404">
        <f t="shared" si="18"/>
        <v>0</v>
      </c>
      <c r="Y17" s="410" t="str">
        <f t="shared" si="5"/>
        <v/>
      </c>
      <c r="Z17" s="411" t="str">
        <f t="shared" si="6"/>
        <v/>
      </c>
      <c r="AA17" s="161" t="str">
        <f t="shared" si="7"/>
        <v/>
      </c>
      <c r="AB17" s="161">
        <f t="shared" si="19"/>
        <v>0</v>
      </c>
      <c r="AC17" s="404">
        <f t="shared" si="8"/>
        <v>0</v>
      </c>
      <c r="AD17" s="404">
        <f t="shared" si="9"/>
        <v>0</v>
      </c>
      <c r="AE17" s="404">
        <f>IF(AD17&gt;30,30,IF(AD17&lt;-30,-30,(AD17)))</f>
        <v>0</v>
      </c>
      <c r="AF17" s="412">
        <f t="shared" si="10"/>
        <v>0</v>
      </c>
      <c r="AG17" s="413">
        <f>MIN(MAX(IF(S17="Yes",F17+AF17,F17),'Roster and Starting Handicaps'!M19),'Roster and Starting Handicaps'!N19)</f>
        <v>46</v>
      </c>
      <c r="AH17" s="413">
        <f>MIN(MAX(IF(S17="No",H17+AF17,H17),'Roster and Starting Handicaps'!O19,'Roster and Starting Handicaps'!P19))</f>
        <v>69.36</v>
      </c>
      <c r="AI17" s="171">
        <f>AB17+'Race #4'!AI17</f>
        <v>0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#4'!AG18</f>
        <v>194.4</v>
      </c>
      <c r="G18" s="431">
        <f t="shared" si="11"/>
        <v>1.1149919398173025</v>
      </c>
      <c r="H18" s="430">
        <f>'Race #4'!AH18</f>
        <v>212.4</v>
      </c>
      <c r="I18" s="432">
        <f t="shared" si="12"/>
        <v>1.0886673662119624</v>
      </c>
      <c r="J18" s="451" t="str">
        <f t="shared" si="13"/>
        <v>No</v>
      </c>
      <c r="K18" s="433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5"/>
        <v>0</v>
      </c>
      <c r="Q18" s="436">
        <f t="shared" si="36"/>
        <v>0</v>
      </c>
      <c r="R18" s="437">
        <f t="shared" si="4"/>
        <v>0</v>
      </c>
      <c r="S18" s="39" t="s">
        <v>166</v>
      </c>
      <c r="T18" s="438" t="str">
        <f t="shared" si="14"/>
        <v/>
      </c>
      <c r="U18" s="439">
        <f t="shared" si="15"/>
        <v>0</v>
      </c>
      <c r="V18" s="439">
        <f>IF(S18="No",0,(-(I18-G18)*Q18))</f>
        <v>0</v>
      </c>
      <c r="W18" s="436">
        <f t="shared" si="17"/>
        <v>0</v>
      </c>
      <c r="X18" s="434">
        <f t="shared" si="18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9"/>
        <v>0</v>
      </c>
      <c r="AC18" s="434">
        <f t="shared" si="8"/>
        <v>0</v>
      </c>
      <c r="AD18" s="434">
        <f t="shared" si="9"/>
        <v>0</v>
      </c>
      <c r="AE18" s="434">
        <f t="shared" si="37"/>
        <v>0</v>
      </c>
      <c r="AF18" s="441">
        <f t="shared" si="10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Handicaps'!O20,'Roster and Starting Handicaps'!P20))</f>
        <v>212.4</v>
      </c>
      <c r="AI18" s="173">
        <f>AB18+'Race #4'!AI18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v>5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e">
        <f>IF($E$28&gt;0,VLOOKUP(1,$AA$4:$AJ$18,10,FALSE),"")</f>
        <v>#N/A</v>
      </c>
      <c r="J22" s="348"/>
      <c r="K22" s="463" t="str" cm="1">
        <f t="array" ref="K22">IFERROR(VLOOKUP(I22,$B$4:$X$18,23,0)-_xlfn.MINIFS($X$4:$X$18,$X$4:$X$18,"&gt;0"),"")</f>
        <v/>
      </c>
      <c r="L22" s="464"/>
      <c r="M22" s="463" t="str">
        <f>IFERROR(VLOOKUP(I22,$B$4:$W$18,22,0)-_xlfn.MINIFS($W$4:$W$18,$W$4:$W$18,"&gt;0"),"")</f>
        <v/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/>
      </c>
      <c r="H23" s="453"/>
      <c r="I23" s="458" t="str">
        <f>IF($E$28&gt;1,VLOOKUP(2,$AA$4:$AJ$18,10,FALSE),"")</f>
        <v/>
      </c>
      <c r="J23" s="459"/>
      <c r="K23" s="463" t="str">
        <f>IFERROR(VLOOKUP(I23,$B$4:$X$18,23,0)-_xlfn.MINIFS($X$4:$X$18,$X$4:$X$18,"&gt;0"),"")</f>
        <v/>
      </c>
      <c r="L23" s="464"/>
      <c r="M23" s="463" t="str">
        <f t="shared" ref="M23:M33" si="55">IFERROR(VLOOKUP(I23,$B$4:$W$18,22,0)-_xlfn.MINIFS($W$4:$W$18,$W$4:$W$18,"&gt;0"),"")</f>
        <v/>
      </c>
      <c r="N23" s="467"/>
      <c r="P23" s="80">
        <v>2</v>
      </c>
      <c r="Q23" s="81">
        <v>1</v>
      </c>
      <c r="U23" s="380" t="s">
        <v>180</v>
      </c>
      <c r="V23" s="380"/>
      <c r="W23" s="381"/>
      <c r="X23" s="71"/>
      <c r="Y23" s="71"/>
      <c r="Z23" s="71"/>
      <c r="AA23" s="382"/>
      <c r="AD23" s="380" t="s">
        <v>231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182</v>
      </c>
      <c r="G24" s="452" t="str">
        <f>IF(E28&gt;2,"Third Place","")</f>
        <v/>
      </c>
      <c r="H24" s="453"/>
      <c r="I24" s="458" t="str">
        <f>IF($E$28&gt;2,VLOOKUP(3,$AA$4:$AJ$18,10,FALSE),"")</f>
        <v/>
      </c>
      <c r="J24" s="459"/>
      <c r="K24" s="463" t="str">
        <f t="shared" ref="K24:K33" si="56">IFERROR(VLOOKUP(I24,$B$4:$X$18,23,0)-_xlfn.MINIFS($X$4:$X$18,$X$4:$X$18,"&gt;0"),"")</f>
        <v/>
      </c>
      <c r="L24" s="464"/>
      <c r="M24" s="463" t="str">
        <f t="shared" si="55"/>
        <v/>
      </c>
      <c r="N24" s="467"/>
      <c r="P24" s="82">
        <v>3</v>
      </c>
      <c r="Q24" s="72">
        <v>2</v>
      </c>
      <c r="U24" s="380"/>
      <c r="V24" s="380"/>
      <c r="W24" s="381"/>
      <c r="X24" s="71"/>
      <c r="Y24" s="71"/>
      <c r="Z24" s="71"/>
      <c r="AA24" s="382"/>
      <c r="AD24" s="380"/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550</v>
      </c>
      <c r="G25" s="452" t="str">
        <f>IF(E28&gt;3,"Fourth Place","")</f>
        <v/>
      </c>
      <c r="H25" s="453"/>
      <c r="I25" s="458" t="str">
        <f>IF($E$28&gt;3,VLOOKUP(4,$AA$4:$AJ$18,10,FALSE),"")</f>
        <v/>
      </c>
      <c r="J25" s="459"/>
      <c r="K25" s="463" t="str">
        <f t="shared" si="56"/>
        <v/>
      </c>
      <c r="L25" s="464"/>
      <c r="M25" s="463" t="str">
        <f t="shared" si="55"/>
        <v/>
      </c>
      <c r="N25" s="467"/>
      <c r="P25" s="82">
        <v>4</v>
      </c>
      <c r="Q25" s="72">
        <v>2</v>
      </c>
      <c r="U25" s="380"/>
      <c r="V25" s="380"/>
      <c r="W25" s="381"/>
      <c r="X25" s="71"/>
      <c r="Y25" s="71"/>
      <c r="Z25" s="71"/>
      <c r="AA25" s="382"/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/>
      </c>
      <c r="H26" s="453"/>
      <c r="I26" s="458" t="str">
        <f>IF($E$28&gt;4,VLOOKUP(5,$AA$4:$AJ$18,10,FALSE),"")</f>
        <v/>
      </c>
      <c r="J26" s="459"/>
      <c r="K26" s="463" t="str">
        <f t="shared" si="56"/>
        <v/>
      </c>
      <c r="L26" s="464"/>
      <c r="M26" s="463" t="str">
        <f t="shared" si="55"/>
        <v/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0</v>
      </c>
      <c r="G27" s="452" t="str">
        <f>IF($E$28&gt;5,"Sixth Place","")</f>
        <v/>
      </c>
      <c r="H27" s="453"/>
      <c r="I27" s="458" t="str">
        <f>IF($E$28&gt;5,VLOOKUP(6,$AA$4:$AJ$18,10,FALSE),"")</f>
        <v/>
      </c>
      <c r="J27" s="459"/>
      <c r="K27" s="463" t="str">
        <f t="shared" si="56"/>
        <v/>
      </c>
      <c r="L27" s="464"/>
      <c r="M27" s="463" t="str">
        <f t="shared" si="55"/>
        <v/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1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63" t="str">
        <f t="shared" si="56"/>
        <v/>
      </c>
      <c r="L28" s="464"/>
      <c r="M28" s="463" t="str">
        <f t="shared" si="55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 t="e">
        <f>VLOOKUP(E28,P23:Q33,2,FALSE)</f>
        <v>#N/A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63" t="str">
        <f t="shared" si="56"/>
        <v/>
      </c>
      <c r="L29" s="464"/>
      <c r="M29" s="463" t="str">
        <f t="shared" si="55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 t="e">
        <f>VLOOKUP(E29,Z4:AC18,4,FALSE)</f>
        <v>#N/A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280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f>SUM(AA22:AA30)</f>
        <v>0</v>
      </c>
    </row>
    <row r="32" spans="2:37" ht="18" customHeight="1" x14ac:dyDescent="0.2">
      <c r="D32" s="56" t="s">
        <v>190</v>
      </c>
      <c r="E32" s="377">
        <f>E25+E31</f>
        <v>830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0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15" priority="3" operator="equal">
      <formula>1</formula>
    </cfRule>
  </conditionalFormatting>
  <conditionalFormatting sqref="S4:T14 S15 S16:T18">
    <cfRule type="cellIs" dxfId="14" priority="1" operator="equal">
      <formula>"Yes"</formula>
    </cfRule>
  </conditionalFormatting>
  <dataValidations count="2">
    <dataValidation type="list" allowBlank="1" showInputMessage="1" showErrorMessage="1" sqref="J4:J18 S4:S18 E22 E26" xr:uid="{32E8521A-AD18-9745-8EC6-75D8ED953EE5}">
      <formula1>$AN$4:$AN$5</formula1>
    </dataValidation>
    <dataValidation type="list" allowBlank="1" showInputMessage="1" showErrorMessage="1" sqref="E24" xr:uid="{813C906D-B5FF-46E9-8503-A3B64EA98511}">
      <formula1>$I$37:$I$39</formula1>
    </dataValidation>
  </dataValidations>
  <printOptions horizontalCentered="1"/>
  <pageMargins left="0.7" right="0.7" top="0.75" bottom="0.75" header="0.3" footer="0.3"/>
  <pageSetup paperSize="9" scale="57" fitToWidth="2" orientation="landscape" r:id="rId1"/>
  <ignoredErrors>
    <ignoredError sqref="H18 H7 H4 H12:H16 H9:H10" 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432D0-52F4-014D-9204-2E74A3CEFA2D}">
  <sheetPr>
    <pageSetUpPr fitToPage="1"/>
  </sheetPr>
  <dimension ref="B1:AN45"/>
  <sheetViews>
    <sheetView topLeftCell="A3" zoomScale="60" zoomScaleNormal="60" workbookViewId="0">
      <selection activeCell="S41" sqref="S41:S42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209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#5'!AG4</f>
        <v>110.1</v>
      </c>
      <c r="G4" s="87">
        <f>$E$32/($E$25+F4)</f>
        <v>1.2573852446598999</v>
      </c>
      <c r="H4" s="132">
        <f>'Race #5'!AH4</f>
        <v>151.19999999999999</v>
      </c>
      <c r="I4" s="88">
        <f>$E$32/($E$25+H4)</f>
        <v>1.1836851112378779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>IF(W4&gt;0,1,0)</f>
        <v>0</v>
      </c>
      <c r="O4" s="128" t="str">
        <f t="shared" ref="O4:O18" si="2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3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4">IF($W4=0,"",RANK($W4,$W$4:$W$18,1)-COUNTIF($W$4:$W$18,0))</f>
        <v/>
      </c>
      <c r="Z4" s="89" t="str">
        <f t="shared" ref="Z4:Z18" si="5">IF($X4=0,"",RANK($X4,$X$4:$X$18,1)-COUNTIF($X$4:$X$18,0))</f>
        <v/>
      </c>
      <c r="AA4" s="159" t="str">
        <f t="shared" ref="AA4:AA18" si="6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 t="shared" ref="AC4:AC18" si="7">X4/$E$21</f>
        <v>0</v>
      </c>
      <c r="AD4" s="85">
        <f t="shared" ref="AD4:AD18" si="8">IF(AC4&gt;0,((X4/$E$21)-$E$30),0)</f>
        <v>0</v>
      </c>
      <c r="AE4" s="85">
        <f>IF(AD4&gt;30,30,IF(AD4&lt;-30,-30,(AD4)))</f>
        <v>0</v>
      </c>
      <c r="AF4" s="90">
        <f t="shared" ref="AF4:AF18" si="9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#5'!AI4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#5'!AG5</f>
        <v>87</v>
      </c>
      <c r="G5" s="31">
        <f t="shared" ref="G5:G18" si="10">$E$32/($E$25+F5)</f>
        <v>1.3029827315541602</v>
      </c>
      <c r="H5" s="27">
        <f>'Race #5'!AH5</f>
        <v>132</v>
      </c>
      <c r="I5" s="35">
        <f t="shared" ref="I5:I18" si="11">$E$32/($E$25+H5)</f>
        <v>1.217008797653959</v>
      </c>
      <c r="J5" s="447" t="str">
        <f t="shared" ref="J5:J18" si="12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2"/>
        <v/>
      </c>
      <c r="P5" s="140">
        <f>M5-L5</f>
        <v>0</v>
      </c>
      <c r="Q5" s="141">
        <f>HOUR(P5)*3600+MINUTE(P5)*60+SECOND(P5)</f>
        <v>0</v>
      </c>
      <c r="R5" s="142">
        <f t="shared" si="3"/>
        <v>0</v>
      </c>
      <c r="S5" s="38" t="s">
        <v>166</v>
      </c>
      <c r="T5" s="94" t="str">
        <f t="shared" ref="T5:T18" si="13">IF(N5=1,IF(S5="No",H5,F5),"")</f>
        <v/>
      </c>
      <c r="U5" s="122">
        <f t="shared" ref="U5:U18" si="14">IF(S5="No",0,((H5-F5)*$E$21))</f>
        <v>0</v>
      </c>
      <c r="V5" s="122">
        <f t="shared" ref="V5:V17" si="15">IF(S5="No",0,(-(I5-G5)*Q5))</f>
        <v>0</v>
      </c>
      <c r="W5" s="141">
        <f t="shared" ref="W5:W18" si="16">Q5-R5+U5</f>
        <v>0</v>
      </c>
      <c r="X5" s="26">
        <f t="shared" ref="X5:X18" si="17">IF(S5="Yes",Q5*G5,Q5*I5)</f>
        <v>0</v>
      </c>
      <c r="Y5" s="40" t="str">
        <f t="shared" si="4"/>
        <v/>
      </c>
      <c r="Z5" s="40" t="str">
        <f t="shared" si="5"/>
        <v/>
      </c>
      <c r="AA5" s="160" t="str">
        <f t="shared" si="6"/>
        <v/>
      </c>
      <c r="AB5" s="169">
        <f t="shared" ref="AB5:AB18" si="18">IF($E$22="Yes",IF(Y5=1,5,IF(Y5=2,4,IF(Y5=3,3,IF(Y5=4,2,IF(Y5=5,1,0))))),IF(Z5=1,5,IF(Z5=2,4,IF(Z5=3,3,IF(Z5=4,2,IF(Z5=5,1,0))))))+K5</f>
        <v>0</v>
      </c>
      <c r="AC5" s="26">
        <f t="shared" si="7"/>
        <v>0</v>
      </c>
      <c r="AD5" s="26">
        <f t="shared" si="8"/>
        <v>0</v>
      </c>
      <c r="AE5" s="26">
        <f>IF(AD5&gt;30,30,IF(AD5&lt;-30,-30,(AD5)))</f>
        <v>0</v>
      </c>
      <c r="AF5" s="47">
        <f t="shared" si="9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#5'!AI5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>
        <f>'Race #5'!AG6</f>
        <v>54</v>
      </c>
      <c r="G6" s="34">
        <f t="shared" ref="G6" si="19">$E$32/($E$25+F6)</f>
        <v>1.3741721854304636</v>
      </c>
      <c r="H6" s="143">
        <f>'Race #5'!AH6</f>
        <v>81.719999999999985</v>
      </c>
      <c r="I6" s="43">
        <f t="shared" ref="I6" si="20">$E$32/($E$25+H6)</f>
        <v>1.3138732349775217</v>
      </c>
      <c r="J6" s="450" t="str">
        <f t="shared" si="12"/>
        <v>No</v>
      </c>
      <c r="K6" s="44">
        <f t="shared" ref="K6" si="21">IF(J6="Yes",1,0)</f>
        <v>0</v>
      </c>
      <c r="L6" s="139"/>
      <c r="M6" s="139"/>
      <c r="N6" s="32">
        <f>IF(W6&gt;0,1,0)</f>
        <v>0</v>
      </c>
      <c r="O6" s="129" t="str">
        <f t="shared" si="2"/>
        <v/>
      </c>
      <c r="P6" s="144">
        <f>M6-L6</f>
        <v>0</v>
      </c>
      <c r="Q6" s="145">
        <f>HOUR(P6)*3600+MINUTE(P6)*60+SECOND(P6)</f>
        <v>0</v>
      </c>
      <c r="R6" s="146">
        <f t="shared" ref="R6" si="22">IF(M6&gt;0,($H6*$E$21),0)</f>
        <v>0</v>
      </c>
      <c r="S6" s="38" t="s">
        <v>166</v>
      </c>
      <c r="T6" s="95" t="str">
        <f t="shared" ref="T6" si="23">IF(N6=1,IF(S6="No",H6,F6),"")</f>
        <v/>
      </c>
      <c r="U6" s="147">
        <f t="shared" ref="U6" si="24">IF(S6="No",0,((H6-F6)*$E$21))</f>
        <v>0</v>
      </c>
      <c r="V6" s="147">
        <f t="shared" ref="V6" si="25">IF(S6="No",0,(-(I6-G6)*Q6))</f>
        <v>0</v>
      </c>
      <c r="W6" s="145">
        <f t="shared" ref="W6" si="26">Q6-R6+U6</f>
        <v>0</v>
      </c>
      <c r="X6" s="32">
        <f t="shared" ref="X6" si="27">IF(S6="Yes",Q6*G6,Q6*I6)</f>
        <v>0</v>
      </c>
      <c r="Y6" s="45" t="str">
        <f t="shared" si="4"/>
        <v/>
      </c>
      <c r="Z6" s="45" t="str">
        <f t="shared" si="5"/>
        <v/>
      </c>
      <c r="AA6" s="160" t="str">
        <f t="shared" ref="AA6" si="28">IF($E$22="Yes",Y6,Z6)</f>
        <v/>
      </c>
      <c r="AB6" s="169">
        <f t="shared" ref="AB6" si="29">IF($E$22="Yes",IF(Y6=1,5,IF(Y6=2,4,IF(Y6=3,3,IF(Y6=4,2,IF(Y6=5,1,0))))),IF(Z6=1,5,IF(Z6=2,4,IF(Z6=3,3,IF(Z6=4,2,IF(Z6=5,1,0))))))+K6</f>
        <v>0</v>
      </c>
      <c r="AC6" s="32">
        <f t="shared" ref="AC6" si="30">X6/$E$21</f>
        <v>0</v>
      </c>
      <c r="AD6" s="32">
        <f t="shared" ref="AD6" si="31">IF(AC6&gt;0,((X6/$E$21)-$E$30),0)</f>
        <v>0</v>
      </c>
      <c r="AE6" s="32">
        <f>IF(AD6&gt;30,30,IF(AD6&lt;-30,-30,(AD6)))</f>
        <v>0</v>
      </c>
      <c r="AF6" s="33">
        <f t="shared" ref="AF6" si="32">AE6*$E$23</f>
        <v>0</v>
      </c>
      <c r="AG6" s="166">
        <f>MIN(MAX(IF(S6="Yes",F6+AF6,F6),'Roster and Starting Handicaps'!M8),'Roster and Starting Handicaps'!N8)</f>
        <v>54</v>
      </c>
      <c r="AH6" s="166">
        <f>MIN(MAX(IF(S6="No",H6+AF6,H6),'Roster and Starting Handicaps'!O8,'Roster and Starting Handicaps'!P8))</f>
        <v>81.719999999999985</v>
      </c>
      <c r="AI6" s="170">
        <f>AB6+'Race #5'!AI6</f>
        <v>5</v>
      </c>
      <c r="AJ6" s="125" t="str">
        <f t="shared" ref="AJ6" si="33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#5'!AG7</f>
        <v>195</v>
      </c>
      <c r="G7" s="31">
        <f t="shared" si="10"/>
        <v>1.1140939597315436</v>
      </c>
      <c r="H7" s="27">
        <f>'Race #5'!AH7</f>
        <v>241.2</v>
      </c>
      <c r="I7" s="35">
        <f t="shared" si="11"/>
        <v>1.0490394337714863</v>
      </c>
      <c r="J7" s="447" t="str">
        <f t="shared" si="12"/>
        <v>No</v>
      </c>
      <c r="K7" s="36">
        <f t="shared" si="1"/>
        <v>0</v>
      </c>
      <c r="L7" s="139"/>
      <c r="M7" s="139"/>
      <c r="N7" s="26">
        <f t="shared" ref="N7:N18" si="34">IF(W7&gt;0,1,0)</f>
        <v>0</v>
      </c>
      <c r="O7" s="129" t="str">
        <f t="shared" si="2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3"/>
        <v>0</v>
      </c>
      <c r="S7" s="38" t="s">
        <v>166</v>
      </c>
      <c r="T7" s="94" t="str">
        <f t="shared" si="13"/>
        <v/>
      </c>
      <c r="U7" s="122">
        <f t="shared" si="14"/>
        <v>0</v>
      </c>
      <c r="V7" s="122">
        <f t="shared" si="15"/>
        <v>0</v>
      </c>
      <c r="W7" s="141">
        <f t="shared" si="16"/>
        <v>0</v>
      </c>
      <c r="X7" s="26">
        <f t="shared" si="17"/>
        <v>0</v>
      </c>
      <c r="Y7" s="40" t="str">
        <f t="shared" si="4"/>
        <v/>
      </c>
      <c r="Z7" s="40" t="str">
        <f t="shared" si="5"/>
        <v/>
      </c>
      <c r="AA7" s="160" t="str">
        <f t="shared" si="6"/>
        <v/>
      </c>
      <c r="AB7" s="169">
        <f t="shared" si="18"/>
        <v>0</v>
      </c>
      <c r="AC7" s="26">
        <f t="shared" si="7"/>
        <v>0</v>
      </c>
      <c r="AD7" s="26">
        <f t="shared" si="8"/>
        <v>0</v>
      </c>
      <c r="AE7" s="26">
        <f t="shared" ref="AE7:AE18" si="37">IF(AD7&gt;30,30,IF(AD7&lt;-30,-30,(AD7)))</f>
        <v>0</v>
      </c>
      <c r="AF7" s="47">
        <f t="shared" si="9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#5'!AI7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#5'!AG8</f>
        <v>164.2</v>
      </c>
      <c r="G8" s="34">
        <f t="shared" si="10"/>
        <v>1.162139456734808</v>
      </c>
      <c r="H8" s="143">
        <f>'Race #5'!AH8</f>
        <v>202.79999999999998</v>
      </c>
      <c r="I8" s="43">
        <f t="shared" si="11"/>
        <v>1.1025504782146653</v>
      </c>
      <c r="J8" s="450" t="str">
        <f t="shared" si="12"/>
        <v>No</v>
      </c>
      <c r="K8" s="44">
        <f t="shared" si="1"/>
        <v>0</v>
      </c>
      <c r="L8" s="139"/>
      <c r="M8" s="139"/>
      <c r="N8" s="32">
        <f>IF(W8&gt;0,1,0)</f>
        <v>0</v>
      </c>
      <c r="O8" s="129" t="str">
        <f t="shared" si="2"/>
        <v/>
      </c>
      <c r="P8" s="144">
        <f>M8-L8</f>
        <v>0</v>
      </c>
      <c r="Q8" s="145">
        <f>HOUR(P8)*3600+MINUTE(P8)*60+SECOND(P8)</f>
        <v>0</v>
      </c>
      <c r="R8" s="146">
        <f t="shared" si="3"/>
        <v>0</v>
      </c>
      <c r="S8" s="38" t="s">
        <v>166</v>
      </c>
      <c r="T8" s="95" t="str">
        <f t="shared" si="13"/>
        <v/>
      </c>
      <c r="U8" s="147">
        <f t="shared" si="14"/>
        <v>0</v>
      </c>
      <c r="V8" s="147">
        <f t="shared" si="15"/>
        <v>0</v>
      </c>
      <c r="W8" s="145">
        <f t="shared" si="16"/>
        <v>0</v>
      </c>
      <c r="X8" s="32">
        <f t="shared" si="17"/>
        <v>0</v>
      </c>
      <c r="Y8" s="45" t="str">
        <f t="shared" si="4"/>
        <v/>
      </c>
      <c r="Z8" s="45" t="str">
        <f t="shared" si="5"/>
        <v/>
      </c>
      <c r="AA8" s="160" t="str">
        <f t="shared" si="6"/>
        <v/>
      </c>
      <c r="AB8" s="169">
        <f t="shared" si="18"/>
        <v>0</v>
      </c>
      <c r="AC8" s="32">
        <f t="shared" si="7"/>
        <v>0</v>
      </c>
      <c r="AD8" s="32">
        <f t="shared" si="8"/>
        <v>0</v>
      </c>
      <c r="AE8" s="32">
        <f>IF(AD8&gt;30,30,IF(AD8&lt;-30,-30,(AD8)))</f>
        <v>0</v>
      </c>
      <c r="AF8" s="33">
        <f t="shared" si="9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#5'!AI8</f>
        <v>10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#5'!AG9</f>
        <v>194.4</v>
      </c>
      <c r="G9" s="31">
        <f t="shared" si="10"/>
        <v>1.1149919398173025</v>
      </c>
      <c r="H9" s="27">
        <f>'Race #5'!AH9</f>
        <v>215.4</v>
      </c>
      <c r="I9" s="35">
        <f t="shared" si="11"/>
        <v>1.0844003135615365</v>
      </c>
      <c r="J9" s="447" t="str">
        <f t="shared" si="12"/>
        <v>No</v>
      </c>
      <c r="K9" s="36">
        <f t="shared" si="1"/>
        <v>0</v>
      </c>
      <c r="L9" s="139"/>
      <c r="M9" s="139"/>
      <c r="N9" s="26">
        <f t="shared" si="34"/>
        <v>0</v>
      </c>
      <c r="O9" s="129" t="str">
        <f t="shared" si="2"/>
        <v/>
      </c>
      <c r="P9" s="140">
        <f t="shared" si="35"/>
        <v>0</v>
      </c>
      <c r="Q9" s="141">
        <f t="shared" si="36"/>
        <v>0</v>
      </c>
      <c r="R9" s="142">
        <f t="shared" si="3"/>
        <v>0</v>
      </c>
      <c r="S9" s="38" t="s">
        <v>166</v>
      </c>
      <c r="T9" s="94" t="str">
        <f t="shared" si="13"/>
        <v/>
      </c>
      <c r="U9" s="122">
        <f t="shared" si="14"/>
        <v>0</v>
      </c>
      <c r="V9" s="122">
        <f t="shared" si="15"/>
        <v>0</v>
      </c>
      <c r="W9" s="141">
        <f t="shared" si="16"/>
        <v>0</v>
      </c>
      <c r="X9" s="26">
        <f t="shared" si="17"/>
        <v>0</v>
      </c>
      <c r="Y9" s="40" t="str">
        <f t="shared" si="4"/>
        <v/>
      </c>
      <c r="Z9" s="40" t="str">
        <f t="shared" si="5"/>
        <v/>
      </c>
      <c r="AA9" s="160" t="str">
        <f t="shared" si="6"/>
        <v/>
      </c>
      <c r="AB9" s="169">
        <f t="shared" si="18"/>
        <v>0</v>
      </c>
      <c r="AC9" s="26">
        <f t="shared" si="7"/>
        <v>0</v>
      </c>
      <c r="AD9" s="26">
        <f t="shared" si="8"/>
        <v>0</v>
      </c>
      <c r="AE9" s="26">
        <f t="shared" si="37"/>
        <v>0</v>
      </c>
      <c r="AF9" s="47">
        <f t="shared" si="9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215.4</v>
      </c>
      <c r="AI9" s="170">
        <f>AB9+'Race #5'!AI9</f>
        <v>9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#5'!AG10</f>
        <v>162</v>
      </c>
      <c r="G10" s="34">
        <f t="shared" si="10"/>
        <v>1.1657303370786516</v>
      </c>
      <c r="H10" s="143">
        <f>'Race #5'!AH10</f>
        <v>190.79999999999998</v>
      </c>
      <c r="I10" s="43">
        <f t="shared" si="11"/>
        <v>1.1204103671706265</v>
      </c>
      <c r="J10" s="450" t="str">
        <f t="shared" si="12"/>
        <v>No</v>
      </c>
      <c r="K10" s="44">
        <f t="shared" si="1"/>
        <v>0</v>
      </c>
      <c r="L10" s="139"/>
      <c r="M10" s="139"/>
      <c r="N10" s="32">
        <f t="shared" si="34"/>
        <v>0</v>
      </c>
      <c r="O10" s="129" t="str">
        <f t="shared" si="2"/>
        <v/>
      </c>
      <c r="P10" s="144">
        <f t="shared" si="35"/>
        <v>0</v>
      </c>
      <c r="Q10" s="145">
        <f t="shared" si="36"/>
        <v>0</v>
      </c>
      <c r="R10" s="146">
        <f t="shared" si="3"/>
        <v>0</v>
      </c>
      <c r="S10" s="38" t="s">
        <v>166</v>
      </c>
      <c r="T10" s="95" t="str">
        <f t="shared" si="13"/>
        <v/>
      </c>
      <c r="U10" s="147">
        <f t="shared" si="14"/>
        <v>0</v>
      </c>
      <c r="V10" s="147">
        <f t="shared" si="15"/>
        <v>0</v>
      </c>
      <c r="W10" s="145">
        <f t="shared" si="16"/>
        <v>0</v>
      </c>
      <c r="X10" s="32">
        <f t="shared" si="17"/>
        <v>0</v>
      </c>
      <c r="Y10" s="45" t="str">
        <f t="shared" si="4"/>
        <v/>
      </c>
      <c r="Z10" s="45" t="str">
        <f t="shared" si="5"/>
        <v/>
      </c>
      <c r="AA10" s="160" t="str">
        <f t="shared" si="6"/>
        <v/>
      </c>
      <c r="AB10" s="169">
        <f t="shared" si="18"/>
        <v>0</v>
      </c>
      <c r="AC10" s="32">
        <f t="shared" si="7"/>
        <v>0</v>
      </c>
      <c r="AD10" s="32">
        <f t="shared" si="8"/>
        <v>0</v>
      </c>
      <c r="AE10" s="32">
        <f t="shared" si="37"/>
        <v>0</v>
      </c>
      <c r="AF10" s="33">
        <f t="shared" si="9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#5'!AI10</f>
        <v>13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#5'!AG11</f>
        <v>280</v>
      </c>
      <c r="G11" s="31">
        <f t="shared" ref="G11" si="38">$E$32/($E$25+F11)</f>
        <v>1</v>
      </c>
      <c r="H11" s="27">
        <f>'Race #5'!AH11</f>
        <v>345.59999999999997</v>
      </c>
      <c r="I11" s="35">
        <f t="shared" ref="I11" si="39">$E$32/($E$25+H11)</f>
        <v>0.92675301473872274</v>
      </c>
      <c r="J11" s="447" t="str">
        <f t="shared" si="12"/>
        <v>No</v>
      </c>
      <c r="K11" s="36">
        <f t="shared" si="1"/>
        <v>0</v>
      </c>
      <c r="L11" s="139"/>
      <c r="M11" s="139"/>
      <c r="N11" s="26">
        <f t="shared" si="34"/>
        <v>1</v>
      </c>
      <c r="O11" s="129" t="str">
        <f t="shared" si="2"/>
        <v/>
      </c>
      <c r="P11" s="140">
        <f t="shared" ref="P11" si="40">M11-L11</f>
        <v>0</v>
      </c>
      <c r="Q11" s="141">
        <f t="shared" ref="Q11" si="41">HOUR(P11)*3600+MINUTE(P11)*60+SECOND(P11)</f>
        <v>0</v>
      </c>
      <c r="R11" s="142">
        <f t="shared" ref="R11" si="42">IF(M11&gt;0,($H11*$E$21),0)</f>
        <v>0</v>
      </c>
      <c r="S11" s="38"/>
      <c r="T11" s="94">
        <f t="shared" ref="T11" si="43">IF(N11=1,IF(S11="No",H11,F11),"")</f>
        <v>280</v>
      </c>
      <c r="U11" s="122">
        <f t="shared" ref="U11" si="44">IF(S11="No",0,((H11-F11)*$E$21))</f>
        <v>295.19999999999982</v>
      </c>
      <c r="V11" s="122">
        <f t="shared" ref="V11" si="45">IF(S11="No",0,(-(I11-G11)*Q11))</f>
        <v>0</v>
      </c>
      <c r="W11" s="141">
        <f t="shared" ref="W11" si="46">Q11-R11+U11</f>
        <v>295.19999999999982</v>
      </c>
      <c r="X11" s="26">
        <f t="shared" ref="X11" si="47">IF(S11="Yes",Q11*G11,Q11*I11)</f>
        <v>0</v>
      </c>
      <c r="Y11" s="40">
        <f t="shared" si="4"/>
        <v>1</v>
      </c>
      <c r="Z11" s="40" t="str">
        <f t="shared" si="5"/>
        <v/>
      </c>
      <c r="AA11" s="160" t="str">
        <f t="shared" ref="AA11" si="48">IF($E$22="Yes",Y11,Z11)</f>
        <v/>
      </c>
      <c r="AB11" s="169">
        <f t="shared" ref="AB11" si="49">IF($E$22="Yes",IF(Y11=1,5,IF(Y11=2,4,IF(Y11=3,3,IF(Y11=4,2,IF(Y11=5,1,0))))),IF(Z11=1,5,IF(Z11=2,4,IF(Z11=3,3,IF(Z11=4,2,IF(Z11=5,1,0))))))+K11</f>
        <v>0</v>
      </c>
      <c r="AC11" s="26">
        <f t="shared" ref="AC11" si="50">X11/$E$21</f>
        <v>0</v>
      </c>
      <c r="AD11" s="26">
        <f t="shared" ref="AD11" si="51">IF(AC11&gt;0,((X11/$E$21)-$E$30),0)</f>
        <v>0</v>
      </c>
      <c r="AE11" s="26">
        <f t="shared" ref="AE11" si="52">IF(AD11&gt;30,30,IF(AD11&lt;-30,-30,(AD11)))</f>
        <v>0</v>
      </c>
      <c r="AF11" s="47">
        <f t="shared" ref="AF11" si="53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#5'!AI11</f>
        <v>8</v>
      </c>
      <c r="AJ11" s="91" t="str">
        <f t="shared" ref="AJ11" si="54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#5'!AG12</f>
        <v>270</v>
      </c>
      <c r="G12" s="34">
        <f t="shared" si="10"/>
        <v>1.0121951219512195</v>
      </c>
      <c r="H12" s="143">
        <f>'Race #5'!AH12</f>
        <v>288</v>
      </c>
      <c r="I12" s="43">
        <f t="shared" si="11"/>
        <v>0.99045346062052508</v>
      </c>
      <c r="J12" s="450" t="str">
        <f t="shared" si="12"/>
        <v>No</v>
      </c>
      <c r="K12" s="44">
        <f t="shared" si="1"/>
        <v>0</v>
      </c>
      <c r="L12" s="139"/>
      <c r="M12" s="139"/>
      <c r="N12" s="32">
        <f t="shared" si="34"/>
        <v>0</v>
      </c>
      <c r="O12" s="129" t="str">
        <f t="shared" si="2"/>
        <v/>
      </c>
      <c r="P12" s="144">
        <f t="shared" si="35"/>
        <v>0</v>
      </c>
      <c r="Q12" s="145">
        <f t="shared" si="36"/>
        <v>0</v>
      </c>
      <c r="R12" s="146">
        <f t="shared" si="3"/>
        <v>0</v>
      </c>
      <c r="S12" s="38" t="s">
        <v>166</v>
      </c>
      <c r="T12" s="95" t="str">
        <f t="shared" si="13"/>
        <v/>
      </c>
      <c r="U12" s="147">
        <f t="shared" si="14"/>
        <v>0</v>
      </c>
      <c r="V12" s="147">
        <f t="shared" si="15"/>
        <v>0</v>
      </c>
      <c r="W12" s="145">
        <f t="shared" si="16"/>
        <v>0</v>
      </c>
      <c r="X12" s="32">
        <f t="shared" si="17"/>
        <v>0</v>
      </c>
      <c r="Y12" s="45" t="str">
        <f t="shared" si="4"/>
        <v/>
      </c>
      <c r="Z12" s="45" t="str">
        <f t="shared" si="5"/>
        <v/>
      </c>
      <c r="AA12" s="160" t="str">
        <f t="shared" si="6"/>
        <v/>
      </c>
      <c r="AB12" s="169">
        <f t="shared" si="18"/>
        <v>0</v>
      </c>
      <c r="AC12" s="32">
        <f t="shared" si="7"/>
        <v>0</v>
      </c>
      <c r="AD12" s="32">
        <f t="shared" si="8"/>
        <v>0</v>
      </c>
      <c r="AE12" s="32">
        <f t="shared" si="37"/>
        <v>0</v>
      </c>
      <c r="AF12" s="33">
        <f t="shared" si="9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#5'!AI12</f>
        <v>9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#5'!AG13</f>
        <v>218.4</v>
      </c>
      <c r="G13" s="31">
        <f t="shared" si="10"/>
        <v>1.0801665799062989</v>
      </c>
      <c r="H13" s="27">
        <f>'Race #5'!AH13</f>
        <v>259.2</v>
      </c>
      <c r="I13" s="35">
        <f t="shared" si="11"/>
        <v>1.0257043994068216</v>
      </c>
      <c r="J13" s="447" t="str">
        <f t="shared" si="12"/>
        <v>No</v>
      </c>
      <c r="K13" s="36">
        <f t="shared" si="1"/>
        <v>0</v>
      </c>
      <c r="L13" s="139"/>
      <c r="M13" s="139"/>
      <c r="N13" s="26">
        <f t="shared" si="34"/>
        <v>0</v>
      </c>
      <c r="O13" s="129" t="str">
        <f t="shared" si="2"/>
        <v/>
      </c>
      <c r="P13" s="140">
        <f t="shared" si="35"/>
        <v>0</v>
      </c>
      <c r="Q13" s="141">
        <f t="shared" si="36"/>
        <v>0</v>
      </c>
      <c r="R13" s="142">
        <f t="shared" si="3"/>
        <v>0</v>
      </c>
      <c r="S13" s="38" t="s">
        <v>166</v>
      </c>
      <c r="T13" s="94" t="str">
        <f t="shared" si="13"/>
        <v/>
      </c>
      <c r="U13" s="122">
        <f t="shared" si="14"/>
        <v>0</v>
      </c>
      <c r="V13" s="122">
        <f t="shared" si="15"/>
        <v>0</v>
      </c>
      <c r="W13" s="141">
        <f t="shared" si="16"/>
        <v>0</v>
      </c>
      <c r="X13" s="26">
        <f t="shared" si="17"/>
        <v>0</v>
      </c>
      <c r="Y13" s="40" t="str">
        <f t="shared" si="4"/>
        <v/>
      </c>
      <c r="Z13" s="40" t="str">
        <f t="shared" si="5"/>
        <v/>
      </c>
      <c r="AA13" s="160" t="str">
        <f t="shared" si="6"/>
        <v/>
      </c>
      <c r="AB13" s="169">
        <f t="shared" si="18"/>
        <v>0</v>
      </c>
      <c r="AC13" s="26">
        <f t="shared" si="7"/>
        <v>0</v>
      </c>
      <c r="AD13" s="26">
        <f t="shared" si="8"/>
        <v>0</v>
      </c>
      <c r="AE13" s="26">
        <f t="shared" si="37"/>
        <v>0</v>
      </c>
      <c r="AF13" s="47">
        <f t="shared" si="9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#5'!AI13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#5'!AG14</f>
        <v>235.6</v>
      </c>
      <c r="G14" s="34">
        <f t="shared" si="10"/>
        <v>1.0565173116089612</v>
      </c>
      <c r="H14" s="143">
        <f>'Race #5'!AH14</f>
        <v>313.2</v>
      </c>
      <c r="I14" s="43">
        <f t="shared" si="11"/>
        <v>0.96153846153846145</v>
      </c>
      <c r="J14" s="450" t="str">
        <f t="shared" si="12"/>
        <v>No</v>
      </c>
      <c r="K14" s="44">
        <f t="shared" si="1"/>
        <v>0</v>
      </c>
      <c r="L14" s="139"/>
      <c r="M14" s="139"/>
      <c r="N14" s="32">
        <f t="shared" si="34"/>
        <v>0</v>
      </c>
      <c r="O14" s="129" t="str">
        <f t="shared" si="2"/>
        <v/>
      </c>
      <c r="P14" s="144">
        <f t="shared" si="35"/>
        <v>0</v>
      </c>
      <c r="Q14" s="145">
        <f>HOUR(P14)*3600+MINUTE(P14)*60+SECOND(P14)</f>
        <v>0</v>
      </c>
      <c r="R14" s="146">
        <f t="shared" si="3"/>
        <v>0</v>
      </c>
      <c r="S14" s="38" t="s">
        <v>166</v>
      </c>
      <c r="T14" s="95" t="str">
        <f t="shared" si="13"/>
        <v/>
      </c>
      <c r="U14" s="147">
        <f t="shared" si="14"/>
        <v>0</v>
      </c>
      <c r="V14" s="147">
        <f t="shared" si="15"/>
        <v>0</v>
      </c>
      <c r="W14" s="145">
        <f t="shared" si="16"/>
        <v>0</v>
      </c>
      <c r="X14" s="32">
        <f t="shared" si="17"/>
        <v>0</v>
      </c>
      <c r="Y14" s="45" t="str">
        <f t="shared" si="4"/>
        <v/>
      </c>
      <c r="Z14" s="45" t="str">
        <f t="shared" si="5"/>
        <v/>
      </c>
      <c r="AA14" s="160" t="str">
        <f t="shared" si="6"/>
        <v/>
      </c>
      <c r="AB14" s="169">
        <f t="shared" si="18"/>
        <v>0</v>
      </c>
      <c r="AC14" s="32">
        <f t="shared" si="7"/>
        <v>0</v>
      </c>
      <c r="AD14" s="32">
        <f t="shared" si="8"/>
        <v>0</v>
      </c>
      <c r="AE14" s="32">
        <f t="shared" si="37"/>
        <v>0</v>
      </c>
      <c r="AF14" s="33">
        <f t="shared" si="9"/>
        <v>0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#5'!AI14</f>
        <v>18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#5'!AG15</f>
        <v>101.7</v>
      </c>
      <c r="G15" s="31">
        <f t="shared" si="10"/>
        <v>1.2735921436243669</v>
      </c>
      <c r="H15" s="27">
        <f>'Race #5'!AH15</f>
        <v>158.4</v>
      </c>
      <c r="I15" s="35">
        <f t="shared" si="11"/>
        <v>1.1716544325239977</v>
      </c>
      <c r="J15" s="447" t="str">
        <f t="shared" si="12"/>
        <v>No</v>
      </c>
      <c r="K15" s="36">
        <f t="shared" si="1"/>
        <v>0</v>
      </c>
      <c r="L15" s="139"/>
      <c r="M15" s="139"/>
      <c r="N15" s="26">
        <f t="shared" si="34"/>
        <v>0</v>
      </c>
      <c r="O15" s="129" t="str">
        <f t="shared" si="2"/>
        <v/>
      </c>
      <c r="P15" s="140">
        <f t="shared" si="35"/>
        <v>0</v>
      </c>
      <c r="Q15" s="141">
        <f t="shared" si="36"/>
        <v>0</v>
      </c>
      <c r="R15" s="142">
        <f t="shared" si="3"/>
        <v>0</v>
      </c>
      <c r="S15" s="38" t="s">
        <v>166</v>
      </c>
      <c r="T15" s="408" t="str">
        <f t="shared" si="13"/>
        <v/>
      </c>
      <c r="U15" s="122">
        <f t="shared" si="14"/>
        <v>0</v>
      </c>
      <c r="V15" s="122">
        <f t="shared" si="15"/>
        <v>0</v>
      </c>
      <c r="W15" s="141">
        <f t="shared" si="16"/>
        <v>0</v>
      </c>
      <c r="X15" s="26">
        <f t="shared" si="17"/>
        <v>0</v>
      </c>
      <c r="Y15" s="40" t="str">
        <f t="shared" si="4"/>
        <v/>
      </c>
      <c r="Z15" s="40" t="str">
        <f t="shared" si="5"/>
        <v/>
      </c>
      <c r="AA15" s="160" t="str">
        <f t="shared" si="6"/>
        <v/>
      </c>
      <c r="AB15" s="169">
        <f t="shared" si="18"/>
        <v>0</v>
      </c>
      <c r="AC15" s="26">
        <f t="shared" si="7"/>
        <v>0</v>
      </c>
      <c r="AD15" s="26">
        <f t="shared" si="8"/>
        <v>0</v>
      </c>
      <c r="AE15" s="26">
        <f t="shared" si="37"/>
        <v>0</v>
      </c>
      <c r="AF15" s="47">
        <f t="shared" si="9"/>
        <v>0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#5'!AI15</f>
        <v>1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#5'!AG16</f>
        <v>157.5</v>
      </c>
      <c r="G16" s="34">
        <f t="shared" si="10"/>
        <v>1.1731448763250882</v>
      </c>
      <c r="H16" s="143">
        <f>'Race #5'!AH16</f>
        <v>205.2</v>
      </c>
      <c r="I16" s="43">
        <f t="shared" si="11"/>
        <v>1.0990466101694916</v>
      </c>
      <c r="J16" s="450" t="str">
        <f t="shared" si="12"/>
        <v>No</v>
      </c>
      <c r="K16" s="44">
        <f t="shared" si="1"/>
        <v>0</v>
      </c>
      <c r="L16" s="139"/>
      <c r="M16" s="139"/>
      <c r="N16" s="32">
        <f t="shared" si="34"/>
        <v>0</v>
      </c>
      <c r="O16" s="129" t="str">
        <f t="shared" si="2"/>
        <v/>
      </c>
      <c r="P16" s="144">
        <f t="shared" si="35"/>
        <v>0</v>
      </c>
      <c r="Q16" s="145">
        <f t="shared" si="36"/>
        <v>0</v>
      </c>
      <c r="R16" s="146">
        <f t="shared" si="3"/>
        <v>0</v>
      </c>
      <c r="S16" s="38" t="s">
        <v>166</v>
      </c>
      <c r="T16" s="95" t="str">
        <f t="shared" si="13"/>
        <v/>
      </c>
      <c r="U16" s="147">
        <f t="shared" si="14"/>
        <v>0</v>
      </c>
      <c r="V16" s="147">
        <f t="shared" si="15"/>
        <v>0</v>
      </c>
      <c r="W16" s="145">
        <f t="shared" si="16"/>
        <v>0</v>
      </c>
      <c r="X16" s="32">
        <f t="shared" si="17"/>
        <v>0</v>
      </c>
      <c r="Y16" s="45" t="str">
        <f t="shared" si="4"/>
        <v/>
      </c>
      <c r="Z16" s="45" t="str">
        <f t="shared" si="5"/>
        <v/>
      </c>
      <c r="AA16" s="160" t="str">
        <f t="shared" si="6"/>
        <v/>
      </c>
      <c r="AB16" s="169">
        <f t="shared" si="18"/>
        <v>0</v>
      </c>
      <c r="AC16" s="32">
        <f t="shared" si="7"/>
        <v>0</v>
      </c>
      <c r="AD16" s="32">
        <f t="shared" si="8"/>
        <v>0</v>
      </c>
      <c r="AE16" s="32">
        <f t="shared" si="37"/>
        <v>0</v>
      </c>
      <c r="AF16" s="33">
        <f t="shared" si="9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#5'!AI16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>
        <f>'Race #5'!AG17</f>
        <v>46</v>
      </c>
      <c r="G17" s="401">
        <f t="shared" si="10"/>
        <v>1.3926174496644295</v>
      </c>
      <c r="H17" s="400">
        <f>'Race #5'!AH17</f>
        <v>69.36</v>
      </c>
      <c r="I17" s="402">
        <f t="shared" si="11"/>
        <v>1.3400929992250064</v>
      </c>
      <c r="J17" s="448" t="str">
        <f t="shared" si="12"/>
        <v>No</v>
      </c>
      <c r="K17" s="403">
        <f t="shared" si="1"/>
        <v>0</v>
      </c>
      <c r="L17" s="139"/>
      <c r="M17" s="150"/>
      <c r="N17" s="404">
        <f>IF(W17&gt;0,1,0)</f>
        <v>0</v>
      </c>
      <c r="O17" s="130" t="str">
        <f t="shared" si="2"/>
        <v/>
      </c>
      <c r="P17" s="405">
        <f>M17-L17</f>
        <v>0</v>
      </c>
      <c r="Q17" s="406">
        <f>HOUR(P17)*3600+MINUTE(P17)*60+SECOND(P17)</f>
        <v>0</v>
      </c>
      <c r="R17" s="407">
        <f t="shared" si="3"/>
        <v>0</v>
      </c>
      <c r="S17" s="59" t="s">
        <v>166</v>
      </c>
      <c r="T17" s="94" t="str">
        <f t="shared" si="13"/>
        <v/>
      </c>
      <c r="U17" s="409">
        <f t="shared" si="14"/>
        <v>0</v>
      </c>
      <c r="V17" s="409">
        <f t="shared" si="15"/>
        <v>0</v>
      </c>
      <c r="W17" s="406">
        <f t="shared" si="16"/>
        <v>0</v>
      </c>
      <c r="X17" s="404">
        <f t="shared" si="17"/>
        <v>0</v>
      </c>
      <c r="Y17" s="410" t="str">
        <f t="shared" si="4"/>
        <v/>
      </c>
      <c r="Z17" s="411" t="str">
        <f t="shared" si="5"/>
        <v/>
      </c>
      <c r="AA17" s="161" t="str">
        <f t="shared" si="6"/>
        <v/>
      </c>
      <c r="AB17" s="161">
        <f t="shared" si="18"/>
        <v>0</v>
      </c>
      <c r="AC17" s="404">
        <f t="shared" si="7"/>
        <v>0</v>
      </c>
      <c r="AD17" s="404">
        <f t="shared" si="8"/>
        <v>0</v>
      </c>
      <c r="AE17" s="404">
        <f>IF(AD17&gt;30,30,IF(AD17&lt;-30,-30,(AD17)))</f>
        <v>0</v>
      </c>
      <c r="AF17" s="412">
        <f t="shared" si="9"/>
        <v>0</v>
      </c>
      <c r="AG17" s="413">
        <f>MIN(MAX(IF(S17="Yes",F17+AF17,F17),'Roster and Starting Handicaps'!M19),'Roster and Starting Handicaps'!N19)</f>
        <v>46</v>
      </c>
      <c r="AH17" s="413">
        <f>MIN(MAX(IF(S17="No",H17+AF17,H17),'Roster and Starting Handicaps'!O19,'Roster and Starting Handicaps'!P19))</f>
        <v>69.36</v>
      </c>
      <c r="AI17" s="171">
        <f>AB17+'Race #5'!AI17</f>
        <v>0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#5'!AG18</f>
        <v>194.4</v>
      </c>
      <c r="G18" s="431">
        <f t="shared" si="10"/>
        <v>1.1149919398173025</v>
      </c>
      <c r="H18" s="430">
        <f>'Race #5'!AH18</f>
        <v>212.4</v>
      </c>
      <c r="I18" s="432">
        <f t="shared" si="11"/>
        <v>1.0886673662119624</v>
      </c>
      <c r="J18" s="451" t="str">
        <f t="shared" si="12"/>
        <v>No</v>
      </c>
      <c r="K18" s="433">
        <f t="shared" si="1"/>
        <v>0</v>
      </c>
      <c r="L18" s="151"/>
      <c r="M18" s="151"/>
      <c r="N18" s="434">
        <f t="shared" si="34"/>
        <v>0</v>
      </c>
      <c r="O18" s="131" t="str">
        <f t="shared" si="2"/>
        <v/>
      </c>
      <c r="P18" s="435">
        <f t="shared" si="35"/>
        <v>0</v>
      </c>
      <c r="Q18" s="436">
        <f t="shared" si="36"/>
        <v>0</v>
      </c>
      <c r="R18" s="437">
        <f t="shared" si="3"/>
        <v>0</v>
      </c>
      <c r="S18" s="39" t="s">
        <v>166</v>
      </c>
      <c r="T18" s="438" t="str">
        <f t="shared" si="13"/>
        <v/>
      </c>
      <c r="U18" s="439">
        <f t="shared" si="14"/>
        <v>0</v>
      </c>
      <c r="V18" s="439">
        <f>IF(S18="No",0,(-(I18-G18)*Q18))</f>
        <v>0</v>
      </c>
      <c r="W18" s="436">
        <f t="shared" si="16"/>
        <v>0</v>
      </c>
      <c r="X18" s="434">
        <f t="shared" si="17"/>
        <v>0</v>
      </c>
      <c r="Y18" s="440" t="str">
        <f t="shared" si="4"/>
        <v/>
      </c>
      <c r="Z18" s="440" t="str">
        <f t="shared" si="5"/>
        <v/>
      </c>
      <c r="AA18" s="163" t="str">
        <f t="shared" si="6"/>
        <v/>
      </c>
      <c r="AB18" s="172">
        <f t="shared" si="18"/>
        <v>0</v>
      </c>
      <c r="AC18" s="434">
        <f t="shared" si="7"/>
        <v>0</v>
      </c>
      <c r="AD18" s="434">
        <f t="shared" si="8"/>
        <v>0</v>
      </c>
      <c r="AE18" s="434">
        <f t="shared" si="37"/>
        <v>0</v>
      </c>
      <c r="AF18" s="441">
        <f t="shared" si="9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Handicaps'!O20,'Roster and Starting Handicaps'!P20))</f>
        <v>212.4</v>
      </c>
      <c r="AI18" s="173">
        <f>AB18+'Race #5'!AI18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v>4.5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e">
        <f>IF($E$28&gt;0,VLOOKUP(1,$AA$4:$AJ$18,10,FALSE),"")</f>
        <v>#N/A</v>
      </c>
      <c r="J22" s="348"/>
      <c r="K22" s="463" t="str" cm="1">
        <f t="array" ref="K22">IFERROR(VLOOKUP(I22,$B$4:$X$18,23,0)-_xlfn.MINIFS($X$4:$X$18,$X$4:$X$18,"&gt;0"),"")</f>
        <v/>
      </c>
      <c r="L22" s="464"/>
      <c r="M22" s="463" t="str">
        <f>IFERROR(VLOOKUP(I22,$B$4:$W$18,22,0)-_xlfn.MINIFS($W$4:$W$18,$W$4:$W$18,"&gt;0"),"")</f>
        <v/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/>
      </c>
      <c r="H23" s="453"/>
      <c r="I23" s="458" t="str">
        <f>IF($E$28&gt;1,VLOOKUP(2,$AA$4:$AJ$18,10,FALSE),"")</f>
        <v/>
      </c>
      <c r="J23" s="459"/>
      <c r="K23" s="463" t="str">
        <f>IFERROR(VLOOKUP(I23,$B$4:$X$18,23,0)-_xlfn.MINIFS($X$4:$X$18,$X$4:$X$18,"&gt;0"),"")</f>
        <v/>
      </c>
      <c r="L23" s="464"/>
      <c r="M23" s="463" t="str">
        <f t="shared" ref="M23:M33" si="55">IFERROR(VLOOKUP(I23,$B$4:$W$18,22,0)-_xlfn.MINIFS($W$4:$W$18,$W$4:$W$18,"&gt;0"),"")</f>
        <v/>
      </c>
      <c r="N23" s="467"/>
      <c r="P23" s="80">
        <v>2</v>
      </c>
      <c r="Q23" s="81">
        <v>1</v>
      </c>
      <c r="U23" s="380" t="s">
        <v>180</v>
      </c>
      <c r="V23" s="380"/>
      <c r="W23" s="381"/>
      <c r="X23" s="71"/>
      <c r="Y23" s="71"/>
      <c r="Z23" s="71"/>
      <c r="AA23" s="382"/>
      <c r="AD23" s="380" t="s">
        <v>231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182</v>
      </c>
      <c r="G24" s="452" t="str">
        <f>IF(E28&gt;2,"Third Place","")</f>
        <v/>
      </c>
      <c r="H24" s="453"/>
      <c r="I24" s="458" t="str">
        <f>IF($E$28&gt;2,VLOOKUP(3,$AA$4:$AJ$18,10,FALSE),"")</f>
        <v/>
      </c>
      <c r="J24" s="459"/>
      <c r="K24" s="463" t="str">
        <f t="shared" ref="K24:K33" si="56">IFERROR(VLOOKUP(I24,$B$4:$X$18,23,0)-_xlfn.MINIFS($X$4:$X$18,$X$4:$X$18,"&gt;0"),"")</f>
        <v/>
      </c>
      <c r="L24" s="464"/>
      <c r="M24" s="463" t="str">
        <f t="shared" si="55"/>
        <v/>
      </c>
      <c r="N24" s="467"/>
      <c r="P24" s="82">
        <v>3</v>
      </c>
      <c r="Q24" s="72">
        <v>2</v>
      </c>
      <c r="U24" s="380"/>
      <c r="V24" s="380"/>
      <c r="W24" s="381"/>
      <c r="X24" s="71"/>
      <c r="Y24" s="71"/>
      <c r="Z24" s="71"/>
      <c r="AA24" s="382"/>
      <c r="AD24" s="380"/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550</v>
      </c>
      <c r="G25" s="452" t="str">
        <f>IF(E28&gt;3,"Fourth Place","")</f>
        <v/>
      </c>
      <c r="H25" s="453"/>
      <c r="I25" s="458" t="str">
        <f>IF($E$28&gt;3,VLOOKUP(4,$AA$4:$AJ$18,10,FALSE),"")</f>
        <v/>
      </c>
      <c r="J25" s="459"/>
      <c r="K25" s="463" t="str">
        <f t="shared" si="56"/>
        <v/>
      </c>
      <c r="L25" s="464"/>
      <c r="M25" s="463" t="str">
        <f t="shared" si="55"/>
        <v/>
      </c>
      <c r="N25" s="467"/>
      <c r="P25" s="82">
        <v>4</v>
      </c>
      <c r="Q25" s="72">
        <v>2</v>
      </c>
      <c r="U25" s="380"/>
      <c r="V25" s="380"/>
      <c r="W25" s="381"/>
      <c r="X25" s="71"/>
      <c r="Y25" s="71"/>
      <c r="Z25" s="71"/>
      <c r="AA25" s="382"/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/>
      </c>
      <c r="H26" s="453"/>
      <c r="I26" s="458" t="str">
        <f>IF($E$28&gt;4,VLOOKUP(5,$AA$4:$AJ$18,10,FALSE),"")</f>
        <v/>
      </c>
      <c r="J26" s="459"/>
      <c r="K26" s="463" t="str">
        <f t="shared" si="56"/>
        <v/>
      </c>
      <c r="L26" s="464"/>
      <c r="M26" s="463" t="str">
        <f t="shared" si="55"/>
        <v/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0</v>
      </c>
      <c r="G27" s="452" t="str">
        <f>IF($E$28&gt;5,"Sixth Place","")</f>
        <v/>
      </c>
      <c r="H27" s="453"/>
      <c r="I27" s="458" t="str">
        <f>IF($E$28&gt;5,VLOOKUP(6,$AA$4:$AJ$18,10,FALSE),"")</f>
        <v/>
      </c>
      <c r="J27" s="459"/>
      <c r="K27" s="463" t="str">
        <f t="shared" si="56"/>
        <v/>
      </c>
      <c r="L27" s="464"/>
      <c r="M27" s="463" t="str">
        <f t="shared" si="55"/>
        <v/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1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63" t="str">
        <f t="shared" si="56"/>
        <v/>
      </c>
      <c r="L28" s="464"/>
      <c r="M28" s="463" t="str">
        <f t="shared" si="55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 t="e">
        <f>VLOOKUP(E28,P23:Q33,2,FALSE)</f>
        <v>#N/A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63" t="str">
        <f t="shared" si="56"/>
        <v/>
      </c>
      <c r="L29" s="464"/>
      <c r="M29" s="463" t="str">
        <f t="shared" si="55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 t="e">
        <f>VLOOKUP(E29,Z4:AC18,4,FALSE)</f>
        <v>#N/A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280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f>SUM(AA22:AA30)</f>
        <v>0</v>
      </c>
    </row>
    <row r="32" spans="2:37" ht="18" customHeight="1" x14ac:dyDescent="0.2">
      <c r="D32" s="56" t="s">
        <v>190</v>
      </c>
      <c r="E32" s="377">
        <f>E25+E31</f>
        <v>830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0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13" priority="3" operator="equal">
      <formula>1</formula>
    </cfRule>
  </conditionalFormatting>
  <conditionalFormatting sqref="S4:T14 S15 S16:T18">
    <cfRule type="cellIs" dxfId="12" priority="1" operator="equal">
      <formula>"Yes"</formula>
    </cfRule>
  </conditionalFormatting>
  <dataValidations count="2">
    <dataValidation type="list" allowBlank="1" showInputMessage="1" showErrorMessage="1" sqref="J4:J18 S4:S18 E22 E26" xr:uid="{0E735641-4C8F-324E-911B-3E9B431F0A1F}">
      <formula1>$AN$4:$AN$5</formula1>
    </dataValidation>
    <dataValidation type="list" allowBlank="1" showInputMessage="1" showErrorMessage="1" sqref="E24" xr:uid="{24A46A9F-087C-48E2-A171-BC7EACDF0506}">
      <formula1>$I$37:$I$39</formula1>
    </dataValidation>
  </dataValidations>
  <printOptions horizontalCentered="1"/>
  <pageMargins left="0.7" right="0.7" top="0.75" bottom="0.75" header="0.3" footer="0.3"/>
  <pageSetup paperSize="9" scale="57" fitToWidth="2" orientation="landscape" r:id="rId1"/>
  <ignoredErrors>
    <ignoredError sqref="H18 H7 H4 H12:H16 H9:H10" 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DACD7-ED52-9B44-8912-4C75AC071D8B}">
  <sheetPr>
    <pageSetUpPr fitToPage="1"/>
  </sheetPr>
  <dimension ref="B1:AN45"/>
  <sheetViews>
    <sheetView zoomScale="80" zoomScaleNormal="80" workbookViewId="0">
      <selection activeCell="S41" sqref="S41:S42"/>
    </sheetView>
  </sheetViews>
  <sheetFormatPr baseColWidth="10" defaultColWidth="8.83203125" defaultRowHeight="15" x14ac:dyDescent="0.2"/>
  <cols>
    <col min="1" max="1" width="2.83203125" customWidth="1"/>
    <col min="2" max="2" width="15.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5" width="10.83203125" style="1" customWidth="1"/>
    <col min="26" max="26" width="15.66406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210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#6'!AG4</f>
        <v>110.1</v>
      </c>
      <c r="G4" s="87">
        <f>$E$32/($E$25+F4)</f>
        <v>1.2573852446598999</v>
      </c>
      <c r="H4" s="132">
        <f>'Race #6'!AH4</f>
        <v>151.19999999999999</v>
      </c>
      <c r="I4" s="88">
        <f>$E$32/($E$25+H4)</f>
        <v>1.1836851112378779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85">
        <f t="shared" ref="AC4:AC18" si="8">X4/$E$21</f>
        <v>0</v>
      </c>
      <c r="AD4" s="85">
        <f t="shared" ref="AD4:AD18" si="9">IF(AC4&gt;0,((X4/$E$21)-$E$30),0)</f>
        <v>0</v>
      </c>
      <c r="AE4" s="85">
        <f>IF(AD4&gt;30,30,IF(AD4&lt;-30,-30,(AD4)))</f>
        <v>0</v>
      </c>
      <c r="AF4" s="90">
        <f t="shared" ref="AF4:AF18" si="10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#6'!AI4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#6'!AG5</f>
        <v>87</v>
      </c>
      <c r="G5" s="31">
        <f t="shared" ref="G5:G18" si="11">$E$32/($E$25+F5)</f>
        <v>1.3029827315541602</v>
      </c>
      <c r="H5" s="27">
        <f>'Race #6'!AH5</f>
        <v>132</v>
      </c>
      <c r="I5" s="35">
        <f t="shared" ref="I5:I18" si="12">$E$32/($E$25+H5)</f>
        <v>1.217008797653959</v>
      </c>
      <c r="J5" s="447" t="str">
        <f t="shared" ref="J5:J18" si="13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3"/>
        <v/>
      </c>
      <c r="P5" s="140">
        <f>M5-L5</f>
        <v>0</v>
      </c>
      <c r="Q5" s="141">
        <f>HOUR(P5)*3600+MINUTE(P5)*60+SECOND(P5)</f>
        <v>0</v>
      </c>
      <c r="R5" s="142">
        <f t="shared" si="4"/>
        <v>0</v>
      </c>
      <c r="S5" s="38" t="s">
        <v>166</v>
      </c>
      <c r="T5" s="94" t="str">
        <f t="shared" ref="T5:T18" si="14">IF(N5=1,IF(S5="No",H5,F5),"")</f>
        <v/>
      </c>
      <c r="U5" s="122">
        <f t="shared" ref="U5:U18" si="15">IF(S5="No",0,((H5-F5)*$E$21))</f>
        <v>0</v>
      </c>
      <c r="V5" s="122">
        <f t="shared" ref="V5:V17" si="16">IF(S5="No",0,(-(I5-G5)*Q5))</f>
        <v>0</v>
      </c>
      <c r="W5" s="141">
        <f t="shared" ref="W5:W18" si="17">Q5-R5+U5</f>
        <v>0</v>
      </c>
      <c r="X5" s="26">
        <f t="shared" ref="X5:X18" si="18">IF(S5="Yes",Q5*G5,Q5*I5)</f>
        <v>0</v>
      </c>
      <c r="Y5" s="40" t="str">
        <f t="shared" si="5"/>
        <v/>
      </c>
      <c r="Z5" s="40" t="str">
        <f t="shared" si="6"/>
        <v/>
      </c>
      <c r="AA5" s="160" t="str">
        <f t="shared" si="7"/>
        <v/>
      </c>
      <c r="AB5" s="169">
        <f t="shared" ref="AB5:AB18" si="19">IF($E$22="Yes",IF(Y5=1,5,IF(Y5=2,4,IF(Y5=3,3,IF(Y5=4,2,IF(Y5=5,1,0))))),IF(Z5=1,5,IF(Z5=2,4,IF(Z5=3,3,IF(Z5=4,2,IF(Z5=5,1,0))))))+K5</f>
        <v>0</v>
      </c>
      <c r="AC5" s="26">
        <f t="shared" si="8"/>
        <v>0</v>
      </c>
      <c r="AD5" s="26">
        <f t="shared" si="9"/>
        <v>0</v>
      </c>
      <c r="AE5" s="26">
        <f>IF(AD5&gt;30,30,IF(AD5&lt;-30,-30,(AD5)))</f>
        <v>0</v>
      </c>
      <c r="AF5" s="47">
        <f t="shared" si="10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#6'!AI5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143">
        <f>'Race #6'!AG6</f>
        <v>54</v>
      </c>
      <c r="G6" s="34">
        <f t="shared" ref="G6" si="20">$E$32/($E$25+F6)</f>
        <v>1.3741721854304636</v>
      </c>
      <c r="H6" s="143">
        <f>'Race #6'!AH6</f>
        <v>81.719999999999985</v>
      </c>
      <c r="I6" s="43">
        <f t="shared" ref="I6" si="21">$E$32/($E$25+H6)</f>
        <v>1.3138732349775217</v>
      </c>
      <c r="J6" s="450" t="str">
        <f t="shared" si="13"/>
        <v>No</v>
      </c>
      <c r="K6" s="44">
        <f t="shared" ref="K6" si="22">IF(J6="Yes",1,0)</f>
        <v>0</v>
      </c>
      <c r="L6" s="139"/>
      <c r="M6" s="139"/>
      <c r="N6" s="32">
        <f>IF(W6&gt;0,1,0)</f>
        <v>0</v>
      </c>
      <c r="O6" s="129" t="str">
        <f t="shared" si="3"/>
        <v/>
      </c>
      <c r="P6" s="144">
        <f>M6-L6</f>
        <v>0</v>
      </c>
      <c r="Q6" s="145">
        <f>HOUR(P6)*3600+MINUTE(P6)*60+SECOND(P6)</f>
        <v>0</v>
      </c>
      <c r="R6" s="146">
        <f t="shared" ref="R6" si="23">IF(M6&gt;0,($H6*$E$21),0)</f>
        <v>0</v>
      </c>
      <c r="S6" s="38" t="s">
        <v>166</v>
      </c>
      <c r="T6" s="95" t="str">
        <f t="shared" ref="T6" si="24">IF(N6=1,IF(S6="No",H6,F6),"")</f>
        <v/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0</v>
      </c>
      <c r="X6" s="32">
        <f t="shared" ref="X6" si="28">IF(S6="Yes",Q6*G6,Q6*I6)</f>
        <v>0</v>
      </c>
      <c r="Y6" s="45" t="str">
        <f t="shared" si="5"/>
        <v/>
      </c>
      <c r="Z6" s="45" t="str">
        <f t="shared" si="6"/>
        <v/>
      </c>
      <c r="AA6" s="160" t="str">
        <f t="shared" ref="AA6" si="29">IF($E$22="Yes",Y6,Z6)</f>
        <v/>
      </c>
      <c r="AB6" s="169">
        <f t="shared" ref="AB6" si="30">IF($E$22="Yes",IF(Y6=1,5,IF(Y6=2,4,IF(Y6=3,3,IF(Y6=4,2,IF(Y6=5,1,0))))),IF(Z6=1,5,IF(Z6=2,4,IF(Z6=3,3,IF(Z6=4,2,IF(Z6=5,1,0))))))+K6</f>
        <v>0</v>
      </c>
      <c r="AC6" s="32">
        <f t="shared" ref="AC6" si="31">X6/$E$21</f>
        <v>0</v>
      </c>
      <c r="AD6" s="32">
        <f t="shared" ref="AD6" si="32">IF(AC6&gt;0,((X6/$E$21)-$E$30),0)</f>
        <v>0</v>
      </c>
      <c r="AE6" s="32">
        <f>IF(AD6&gt;30,30,IF(AD6&lt;-30,-30,(AD6)))</f>
        <v>0</v>
      </c>
      <c r="AF6" s="33">
        <f t="shared" ref="AF6" si="33">AE6*$E$23</f>
        <v>0</v>
      </c>
      <c r="AG6" s="166">
        <f>MIN(MAX(IF(S6="Yes",F6+AF6,F6),'Roster and Starting Handicaps'!M8),'Roster and Starting Handicaps'!N8)</f>
        <v>54</v>
      </c>
      <c r="AH6" s="166">
        <f>MIN(MAX(IF(S6="No",H6+AF6,H6),'Roster and Starting Handicaps'!O8,'Roster and Starting Handicaps'!P8))</f>
        <v>81.719999999999985</v>
      </c>
      <c r="AI6" s="170">
        <f>AB6+'Race #6'!AI6</f>
        <v>5</v>
      </c>
      <c r="AJ6" s="125" t="str">
        <f t="shared" ref="AJ6" si="34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#6'!AG7</f>
        <v>195</v>
      </c>
      <c r="G7" s="31">
        <f t="shared" si="11"/>
        <v>1.1140939597315436</v>
      </c>
      <c r="H7" s="27">
        <f>'Race #6'!AH7</f>
        <v>241.2</v>
      </c>
      <c r="I7" s="35">
        <f t="shared" si="12"/>
        <v>1.0490394337714863</v>
      </c>
      <c r="J7" s="447" t="str">
        <f t="shared" si="13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4"/>
        <v>0</v>
      </c>
      <c r="S7" s="38" t="s">
        <v>166</v>
      </c>
      <c r="T7" s="94" t="str">
        <f t="shared" si="14"/>
        <v/>
      </c>
      <c r="U7" s="122">
        <f t="shared" si="15"/>
        <v>0</v>
      </c>
      <c r="V7" s="122">
        <f t="shared" si="16"/>
        <v>0</v>
      </c>
      <c r="W7" s="141">
        <f t="shared" si="17"/>
        <v>0</v>
      </c>
      <c r="X7" s="26">
        <f t="shared" si="18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9"/>
        <v>0</v>
      </c>
      <c r="AC7" s="26">
        <f t="shared" si="8"/>
        <v>0</v>
      </c>
      <c r="AD7" s="26">
        <f t="shared" si="9"/>
        <v>0</v>
      </c>
      <c r="AE7" s="26">
        <f t="shared" ref="AE7:AE18" si="37">IF(AD7&gt;30,30,IF(AD7&lt;-30,-30,(AD7)))</f>
        <v>0</v>
      </c>
      <c r="AF7" s="47">
        <f t="shared" si="10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#6'!AI7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#6'!AG8</f>
        <v>164.2</v>
      </c>
      <c r="G8" s="34">
        <f t="shared" si="11"/>
        <v>1.162139456734808</v>
      </c>
      <c r="H8" s="143">
        <f>'Race #6'!AH8</f>
        <v>202.79999999999998</v>
      </c>
      <c r="I8" s="43">
        <f t="shared" si="12"/>
        <v>1.1025504782146653</v>
      </c>
      <c r="J8" s="450" t="str">
        <f t="shared" si="13"/>
        <v>No</v>
      </c>
      <c r="K8" s="44">
        <f t="shared" si="1"/>
        <v>0</v>
      </c>
      <c r="L8" s="139"/>
      <c r="M8" s="139"/>
      <c r="N8" s="32">
        <f>IF(W8&gt;0,1,0)</f>
        <v>0</v>
      </c>
      <c r="O8" s="129" t="str">
        <f t="shared" si="3"/>
        <v/>
      </c>
      <c r="P8" s="144">
        <f>M8-L8</f>
        <v>0</v>
      </c>
      <c r="Q8" s="145">
        <f>HOUR(P8)*3600+MINUTE(P8)*60+SECOND(P8)</f>
        <v>0</v>
      </c>
      <c r="R8" s="146">
        <f t="shared" si="4"/>
        <v>0</v>
      </c>
      <c r="S8" s="38" t="s">
        <v>166</v>
      </c>
      <c r="T8" s="95" t="str">
        <f t="shared" si="14"/>
        <v/>
      </c>
      <c r="U8" s="147">
        <f t="shared" si="15"/>
        <v>0</v>
      </c>
      <c r="V8" s="147">
        <f t="shared" si="16"/>
        <v>0</v>
      </c>
      <c r="W8" s="145">
        <f t="shared" si="17"/>
        <v>0</v>
      </c>
      <c r="X8" s="32">
        <f t="shared" si="18"/>
        <v>0</v>
      </c>
      <c r="Y8" s="45" t="str">
        <f t="shared" si="5"/>
        <v/>
      </c>
      <c r="Z8" s="45" t="str">
        <f>IF($X8=0,"",RANK($X8,$X$4:$X$18,1)-COUNTIF($X$4:$X$18,0))</f>
        <v/>
      </c>
      <c r="AA8" s="160" t="str">
        <f t="shared" si="7"/>
        <v/>
      </c>
      <c r="AB8" s="169">
        <f t="shared" si="19"/>
        <v>0</v>
      </c>
      <c r="AC8" s="32">
        <f t="shared" si="8"/>
        <v>0</v>
      </c>
      <c r="AD8" s="32">
        <f t="shared" si="9"/>
        <v>0</v>
      </c>
      <c r="AE8" s="32">
        <f>IF(AD8&gt;30,30,IF(AD8&lt;-30,-30,(AD8)))</f>
        <v>0</v>
      </c>
      <c r="AF8" s="33">
        <f t="shared" si="10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#6'!AI8</f>
        <v>10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#6'!AG9</f>
        <v>194.4</v>
      </c>
      <c r="G9" s="31">
        <f t="shared" si="11"/>
        <v>1.1149919398173025</v>
      </c>
      <c r="H9" s="27">
        <f>'Race #6'!AH9</f>
        <v>215.4</v>
      </c>
      <c r="I9" s="35">
        <f t="shared" si="12"/>
        <v>1.0844003135615365</v>
      </c>
      <c r="J9" s="447" t="str">
        <f t="shared" si="13"/>
        <v>No</v>
      </c>
      <c r="K9" s="36">
        <f t="shared" si="1"/>
        <v>0</v>
      </c>
      <c r="L9" s="139"/>
      <c r="M9" s="139"/>
      <c r="N9" s="26">
        <f t="shared" si="2"/>
        <v>0</v>
      </c>
      <c r="O9" s="129" t="str">
        <f t="shared" si="3"/>
        <v/>
      </c>
      <c r="P9" s="140">
        <f t="shared" si="35"/>
        <v>0</v>
      </c>
      <c r="Q9" s="141">
        <f t="shared" si="36"/>
        <v>0</v>
      </c>
      <c r="R9" s="142">
        <f t="shared" si="4"/>
        <v>0</v>
      </c>
      <c r="S9" s="38" t="s">
        <v>166</v>
      </c>
      <c r="T9" s="94" t="str">
        <f t="shared" si="14"/>
        <v/>
      </c>
      <c r="U9" s="122">
        <f t="shared" si="15"/>
        <v>0</v>
      </c>
      <c r="V9" s="122">
        <f t="shared" si="16"/>
        <v>0</v>
      </c>
      <c r="W9" s="141">
        <f t="shared" si="17"/>
        <v>0</v>
      </c>
      <c r="X9" s="26">
        <f t="shared" si="18"/>
        <v>0</v>
      </c>
      <c r="Y9" s="40" t="str">
        <f t="shared" si="5"/>
        <v/>
      </c>
      <c r="Z9" s="40" t="str">
        <f t="shared" si="6"/>
        <v/>
      </c>
      <c r="AA9" s="160" t="str">
        <f t="shared" si="7"/>
        <v/>
      </c>
      <c r="AB9" s="169">
        <f t="shared" si="19"/>
        <v>0</v>
      </c>
      <c r="AC9" s="26">
        <f t="shared" si="8"/>
        <v>0</v>
      </c>
      <c r="AD9" s="26">
        <f t="shared" si="9"/>
        <v>0</v>
      </c>
      <c r="AE9" s="26">
        <f t="shared" si="37"/>
        <v>0</v>
      </c>
      <c r="AF9" s="47">
        <f t="shared" si="10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215.4</v>
      </c>
      <c r="AI9" s="170">
        <f>AB9+'Race #6'!AI9</f>
        <v>9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#6'!AG10</f>
        <v>162</v>
      </c>
      <c r="G10" s="34">
        <f t="shared" si="11"/>
        <v>1.1657303370786516</v>
      </c>
      <c r="H10" s="143">
        <f>'Race #6'!AH10</f>
        <v>190.79999999999998</v>
      </c>
      <c r="I10" s="43">
        <f t="shared" si="12"/>
        <v>1.1204103671706265</v>
      </c>
      <c r="J10" s="450" t="str">
        <f t="shared" si="13"/>
        <v>No</v>
      </c>
      <c r="K10" s="44">
        <f t="shared" si="1"/>
        <v>0</v>
      </c>
      <c r="L10" s="139"/>
      <c r="M10" s="139"/>
      <c r="N10" s="32">
        <f t="shared" si="2"/>
        <v>0</v>
      </c>
      <c r="O10" s="129" t="str">
        <f t="shared" si="3"/>
        <v/>
      </c>
      <c r="P10" s="144">
        <f t="shared" si="35"/>
        <v>0</v>
      </c>
      <c r="Q10" s="145">
        <f t="shared" si="36"/>
        <v>0</v>
      </c>
      <c r="R10" s="146">
        <f t="shared" si="4"/>
        <v>0</v>
      </c>
      <c r="S10" s="38" t="s">
        <v>166</v>
      </c>
      <c r="T10" s="95" t="str">
        <f t="shared" si="14"/>
        <v/>
      </c>
      <c r="U10" s="147">
        <f t="shared" si="15"/>
        <v>0</v>
      </c>
      <c r="V10" s="147">
        <f t="shared" si="16"/>
        <v>0</v>
      </c>
      <c r="W10" s="145">
        <f t="shared" si="17"/>
        <v>0</v>
      </c>
      <c r="X10" s="32">
        <f t="shared" si="18"/>
        <v>0</v>
      </c>
      <c r="Y10" s="45" t="str">
        <f t="shared" si="5"/>
        <v/>
      </c>
      <c r="Z10" s="45" t="str">
        <f t="shared" si="6"/>
        <v/>
      </c>
      <c r="AA10" s="160" t="str">
        <f t="shared" si="7"/>
        <v/>
      </c>
      <c r="AB10" s="169">
        <f t="shared" si="19"/>
        <v>0</v>
      </c>
      <c r="AC10" s="32">
        <f t="shared" si="8"/>
        <v>0</v>
      </c>
      <c r="AD10" s="32">
        <f t="shared" si="9"/>
        <v>0</v>
      </c>
      <c r="AE10" s="32">
        <f t="shared" si="37"/>
        <v>0</v>
      </c>
      <c r="AF10" s="33">
        <f t="shared" si="10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#6'!AI10</f>
        <v>13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#6'!AG11</f>
        <v>280</v>
      </c>
      <c r="G11" s="31">
        <f t="shared" ref="G11" si="38">$E$32/($E$25+F11)</f>
        <v>1</v>
      </c>
      <c r="H11" s="27">
        <f>'Race #6'!AH11</f>
        <v>345.59999999999997</v>
      </c>
      <c r="I11" s="35">
        <f t="shared" ref="I11" si="39">$E$32/($E$25+H11)</f>
        <v>0.92675301473872274</v>
      </c>
      <c r="J11" s="447" t="str">
        <f t="shared" si="13"/>
        <v>No</v>
      </c>
      <c r="K11" s="36">
        <f t="shared" si="1"/>
        <v>0</v>
      </c>
      <c r="L11" s="139"/>
      <c r="M11" s="139"/>
      <c r="N11" s="26">
        <f t="shared" si="2"/>
        <v>1</v>
      </c>
      <c r="O11" s="129" t="str">
        <f t="shared" si="3"/>
        <v/>
      </c>
      <c r="P11" s="140">
        <f t="shared" ref="P11" si="40">M11-L11</f>
        <v>0</v>
      </c>
      <c r="Q11" s="141">
        <f t="shared" ref="Q11" si="41">HOUR(P11)*3600+MINUTE(P11)*60+SECOND(P11)</f>
        <v>0</v>
      </c>
      <c r="R11" s="142">
        <f t="shared" ref="R11" si="42">IF(M11&gt;0,($H11*$E$21),0)</f>
        <v>0</v>
      </c>
      <c r="S11" s="38"/>
      <c r="T11" s="94">
        <f t="shared" ref="T11" si="43">IF(N11=1,IF(S11="No",H11,F11),"")</f>
        <v>280</v>
      </c>
      <c r="U11" s="122">
        <f t="shared" ref="U11" si="44">IF(S11="No",0,((H11-F11)*$E$21))</f>
        <v>327.67199999999985</v>
      </c>
      <c r="V11" s="122">
        <f t="shared" ref="V11" si="45">IF(S11="No",0,(-(I11-G11)*Q11))</f>
        <v>0</v>
      </c>
      <c r="W11" s="141">
        <f t="shared" ref="W11" si="46">Q11-R11+U11</f>
        <v>327.67199999999985</v>
      </c>
      <c r="X11" s="26">
        <f t="shared" ref="X11" si="47">IF(S11="Yes",Q11*G11,Q11*I11)</f>
        <v>0</v>
      </c>
      <c r="Y11" s="40">
        <f t="shared" si="5"/>
        <v>1</v>
      </c>
      <c r="Z11" s="40" t="str">
        <f t="shared" si="6"/>
        <v/>
      </c>
      <c r="AA11" s="160" t="str">
        <f t="shared" ref="AA11" si="48">IF($E$22="Yes",Y11,Z11)</f>
        <v/>
      </c>
      <c r="AB11" s="169">
        <f t="shared" ref="AB11" si="49">IF($E$22="Yes",IF(Y11=1,5,IF(Y11=2,4,IF(Y11=3,3,IF(Y11=4,2,IF(Y11=5,1,0))))),IF(Z11=1,5,IF(Z11=2,4,IF(Z11=3,3,IF(Z11=4,2,IF(Z11=5,1,0))))))+K11</f>
        <v>0</v>
      </c>
      <c r="AC11" s="26">
        <f t="shared" ref="AC11" si="50">X11/$E$21</f>
        <v>0</v>
      </c>
      <c r="AD11" s="26">
        <f t="shared" ref="AD11" si="51">IF(AC11&gt;0,((X11/$E$21)-$E$30),0)</f>
        <v>0</v>
      </c>
      <c r="AE11" s="26">
        <f t="shared" ref="AE11" si="52">IF(AD11&gt;30,30,IF(AD11&lt;-30,-30,(AD11)))</f>
        <v>0</v>
      </c>
      <c r="AF11" s="47">
        <f t="shared" ref="AF11" si="53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#6'!AI11</f>
        <v>8</v>
      </c>
      <c r="AJ11" s="91" t="str">
        <f t="shared" ref="AJ11" si="54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#6'!AG12</f>
        <v>270</v>
      </c>
      <c r="G12" s="34">
        <f t="shared" si="11"/>
        <v>1.0121951219512195</v>
      </c>
      <c r="H12" s="143">
        <f>'Race #6'!AH12</f>
        <v>288</v>
      </c>
      <c r="I12" s="43">
        <f t="shared" si="12"/>
        <v>0.99045346062052508</v>
      </c>
      <c r="J12" s="450" t="str">
        <f t="shared" si="13"/>
        <v>No</v>
      </c>
      <c r="K12" s="44">
        <f t="shared" si="1"/>
        <v>0</v>
      </c>
      <c r="L12" s="139"/>
      <c r="M12" s="139"/>
      <c r="N12" s="32">
        <f t="shared" si="2"/>
        <v>0</v>
      </c>
      <c r="O12" s="129" t="str">
        <f t="shared" si="3"/>
        <v/>
      </c>
      <c r="P12" s="144">
        <f t="shared" si="35"/>
        <v>0</v>
      </c>
      <c r="Q12" s="145">
        <f t="shared" si="36"/>
        <v>0</v>
      </c>
      <c r="R12" s="146">
        <f t="shared" si="4"/>
        <v>0</v>
      </c>
      <c r="S12" s="38" t="s">
        <v>166</v>
      </c>
      <c r="T12" s="95" t="str">
        <f t="shared" si="14"/>
        <v/>
      </c>
      <c r="U12" s="147">
        <f t="shared" si="15"/>
        <v>0</v>
      </c>
      <c r="V12" s="147">
        <f t="shared" si="16"/>
        <v>0</v>
      </c>
      <c r="W12" s="145">
        <f t="shared" si="17"/>
        <v>0</v>
      </c>
      <c r="X12" s="32">
        <f t="shared" si="18"/>
        <v>0</v>
      </c>
      <c r="Y12" s="45" t="str">
        <f t="shared" si="5"/>
        <v/>
      </c>
      <c r="Z12" s="45" t="str">
        <f t="shared" si="6"/>
        <v/>
      </c>
      <c r="AA12" s="160" t="str">
        <f t="shared" si="7"/>
        <v/>
      </c>
      <c r="AB12" s="169">
        <f t="shared" si="19"/>
        <v>0</v>
      </c>
      <c r="AC12" s="32">
        <f t="shared" si="8"/>
        <v>0</v>
      </c>
      <c r="AD12" s="32">
        <f t="shared" si="9"/>
        <v>0</v>
      </c>
      <c r="AE12" s="32">
        <f t="shared" si="37"/>
        <v>0</v>
      </c>
      <c r="AF12" s="33">
        <f t="shared" si="10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#6'!AI12</f>
        <v>9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#6'!AG13</f>
        <v>218.4</v>
      </c>
      <c r="G13" s="31">
        <f t="shared" si="11"/>
        <v>1.0801665799062989</v>
      </c>
      <c r="H13" s="27">
        <f>'Race #6'!AH13</f>
        <v>259.2</v>
      </c>
      <c r="I13" s="35">
        <f t="shared" si="12"/>
        <v>1.0257043994068216</v>
      </c>
      <c r="J13" s="447" t="str">
        <f t="shared" si="13"/>
        <v>No</v>
      </c>
      <c r="K13" s="36">
        <f t="shared" si="1"/>
        <v>0</v>
      </c>
      <c r="L13" s="139"/>
      <c r="M13" s="139"/>
      <c r="N13" s="26">
        <f t="shared" si="2"/>
        <v>0</v>
      </c>
      <c r="O13" s="129" t="str">
        <f t="shared" si="3"/>
        <v/>
      </c>
      <c r="P13" s="140">
        <f t="shared" si="35"/>
        <v>0</v>
      </c>
      <c r="Q13" s="141">
        <f t="shared" si="36"/>
        <v>0</v>
      </c>
      <c r="R13" s="142">
        <f t="shared" si="4"/>
        <v>0</v>
      </c>
      <c r="S13" s="38" t="s">
        <v>166</v>
      </c>
      <c r="T13" s="94" t="str">
        <f t="shared" si="14"/>
        <v/>
      </c>
      <c r="U13" s="122">
        <f t="shared" si="15"/>
        <v>0</v>
      </c>
      <c r="V13" s="122">
        <f t="shared" si="16"/>
        <v>0</v>
      </c>
      <c r="W13" s="141">
        <f t="shared" si="17"/>
        <v>0</v>
      </c>
      <c r="X13" s="26">
        <f t="shared" si="18"/>
        <v>0</v>
      </c>
      <c r="Y13" s="40" t="str">
        <f t="shared" si="5"/>
        <v/>
      </c>
      <c r="Z13" s="40" t="str">
        <f t="shared" si="6"/>
        <v/>
      </c>
      <c r="AA13" s="160" t="str">
        <f t="shared" si="7"/>
        <v/>
      </c>
      <c r="AB13" s="169">
        <f t="shared" si="19"/>
        <v>0</v>
      </c>
      <c r="AC13" s="26">
        <f t="shared" si="8"/>
        <v>0</v>
      </c>
      <c r="AD13" s="26">
        <f t="shared" si="9"/>
        <v>0</v>
      </c>
      <c r="AE13" s="26">
        <f t="shared" si="37"/>
        <v>0</v>
      </c>
      <c r="AF13" s="47">
        <f t="shared" si="10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#6'!AI13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#6'!AG14</f>
        <v>235.6</v>
      </c>
      <c r="G14" s="34">
        <f t="shared" si="11"/>
        <v>1.0565173116089612</v>
      </c>
      <c r="H14" s="143">
        <f>'Race #6'!AH14</f>
        <v>313.2</v>
      </c>
      <c r="I14" s="43">
        <f t="shared" si="12"/>
        <v>0.96153846153846145</v>
      </c>
      <c r="J14" s="450" t="str">
        <f t="shared" si="13"/>
        <v>No</v>
      </c>
      <c r="K14" s="44">
        <f t="shared" si="1"/>
        <v>0</v>
      </c>
      <c r="L14" s="139"/>
      <c r="M14" s="139"/>
      <c r="N14" s="32">
        <f t="shared" si="2"/>
        <v>0</v>
      </c>
      <c r="O14" s="129" t="str">
        <f t="shared" si="3"/>
        <v/>
      </c>
      <c r="P14" s="144">
        <f t="shared" si="35"/>
        <v>0</v>
      </c>
      <c r="Q14" s="145">
        <f>HOUR(P14)*3600+MINUTE(P14)*60+SECOND(P14)</f>
        <v>0</v>
      </c>
      <c r="R14" s="146">
        <f t="shared" si="4"/>
        <v>0</v>
      </c>
      <c r="S14" s="38" t="s">
        <v>166</v>
      </c>
      <c r="T14" s="95" t="str">
        <f t="shared" si="14"/>
        <v/>
      </c>
      <c r="U14" s="147">
        <f t="shared" si="15"/>
        <v>0</v>
      </c>
      <c r="V14" s="147">
        <f t="shared" si="16"/>
        <v>0</v>
      </c>
      <c r="W14" s="145">
        <f t="shared" si="17"/>
        <v>0</v>
      </c>
      <c r="X14" s="32">
        <f t="shared" si="18"/>
        <v>0</v>
      </c>
      <c r="Y14" s="45" t="str">
        <f t="shared" si="5"/>
        <v/>
      </c>
      <c r="Z14" s="45" t="str">
        <f t="shared" si="6"/>
        <v/>
      </c>
      <c r="AA14" s="160" t="str">
        <f t="shared" si="7"/>
        <v/>
      </c>
      <c r="AB14" s="169">
        <f t="shared" si="19"/>
        <v>0</v>
      </c>
      <c r="AC14" s="32">
        <f t="shared" si="8"/>
        <v>0</v>
      </c>
      <c r="AD14" s="32">
        <f t="shared" si="9"/>
        <v>0</v>
      </c>
      <c r="AE14" s="32">
        <f t="shared" si="37"/>
        <v>0</v>
      </c>
      <c r="AF14" s="33">
        <f t="shared" si="10"/>
        <v>0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#6'!AI14</f>
        <v>18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#6'!AG15</f>
        <v>101.7</v>
      </c>
      <c r="G15" s="31">
        <f t="shared" si="11"/>
        <v>1.2735921436243669</v>
      </c>
      <c r="H15" s="27">
        <f>'Race #6'!AH15</f>
        <v>158.4</v>
      </c>
      <c r="I15" s="35">
        <f t="shared" si="12"/>
        <v>1.1716544325239977</v>
      </c>
      <c r="J15" s="447" t="str">
        <f t="shared" si="13"/>
        <v>No</v>
      </c>
      <c r="K15" s="36">
        <f t="shared" si="1"/>
        <v>0</v>
      </c>
      <c r="L15" s="139"/>
      <c r="M15" s="139"/>
      <c r="N15" s="26">
        <f t="shared" si="2"/>
        <v>0</v>
      </c>
      <c r="O15" s="129" t="str">
        <f t="shared" si="3"/>
        <v/>
      </c>
      <c r="P15" s="140">
        <f t="shared" si="35"/>
        <v>0</v>
      </c>
      <c r="Q15" s="141">
        <f t="shared" si="36"/>
        <v>0</v>
      </c>
      <c r="R15" s="142">
        <f t="shared" si="4"/>
        <v>0</v>
      </c>
      <c r="S15" s="38" t="s">
        <v>166</v>
      </c>
      <c r="T15" s="408" t="str">
        <f t="shared" si="14"/>
        <v/>
      </c>
      <c r="U15" s="122">
        <f t="shared" si="15"/>
        <v>0</v>
      </c>
      <c r="V15" s="122">
        <f t="shared" si="16"/>
        <v>0</v>
      </c>
      <c r="W15" s="141">
        <f t="shared" si="17"/>
        <v>0</v>
      </c>
      <c r="X15" s="26">
        <f t="shared" si="18"/>
        <v>0</v>
      </c>
      <c r="Y15" s="40" t="str">
        <f t="shared" si="5"/>
        <v/>
      </c>
      <c r="Z15" s="40" t="str">
        <f t="shared" si="6"/>
        <v/>
      </c>
      <c r="AA15" s="160" t="str">
        <f t="shared" si="7"/>
        <v/>
      </c>
      <c r="AB15" s="169">
        <f t="shared" si="19"/>
        <v>0</v>
      </c>
      <c r="AC15" s="26">
        <f t="shared" si="8"/>
        <v>0</v>
      </c>
      <c r="AD15" s="26">
        <f t="shared" si="9"/>
        <v>0</v>
      </c>
      <c r="AE15" s="26">
        <f t="shared" si="37"/>
        <v>0</v>
      </c>
      <c r="AF15" s="47">
        <f t="shared" si="10"/>
        <v>0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#6'!AI15</f>
        <v>1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#6'!AG16</f>
        <v>157.5</v>
      </c>
      <c r="G16" s="34">
        <f t="shared" si="11"/>
        <v>1.1731448763250882</v>
      </c>
      <c r="H16" s="143">
        <f>'Race #6'!AH16</f>
        <v>205.2</v>
      </c>
      <c r="I16" s="43">
        <f t="shared" si="12"/>
        <v>1.0990466101694916</v>
      </c>
      <c r="J16" s="450" t="str">
        <f t="shared" si="13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5"/>
        <v>0</v>
      </c>
      <c r="Q16" s="145">
        <f t="shared" si="36"/>
        <v>0</v>
      </c>
      <c r="R16" s="146">
        <f t="shared" si="4"/>
        <v>0</v>
      </c>
      <c r="S16" s="38" t="s">
        <v>166</v>
      </c>
      <c r="T16" s="95" t="str">
        <f t="shared" si="14"/>
        <v/>
      </c>
      <c r="U16" s="147">
        <f t="shared" si="15"/>
        <v>0</v>
      </c>
      <c r="V16" s="147">
        <f t="shared" si="16"/>
        <v>0</v>
      </c>
      <c r="W16" s="145">
        <f t="shared" si="17"/>
        <v>0</v>
      </c>
      <c r="X16" s="32">
        <f t="shared" si="18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9"/>
        <v>0</v>
      </c>
      <c r="AC16" s="32">
        <f t="shared" si="8"/>
        <v>0</v>
      </c>
      <c r="AD16" s="32">
        <f t="shared" si="9"/>
        <v>0</v>
      </c>
      <c r="AE16" s="32">
        <f t="shared" si="37"/>
        <v>0</v>
      </c>
      <c r="AF16" s="33">
        <f t="shared" si="10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#6'!AI16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>
        <f>'Race #6'!AG17</f>
        <v>46</v>
      </c>
      <c r="G17" s="401">
        <f t="shared" si="11"/>
        <v>1.3926174496644295</v>
      </c>
      <c r="H17" s="400">
        <f>'Race #6'!AH17</f>
        <v>69.36</v>
      </c>
      <c r="I17" s="402">
        <f t="shared" si="12"/>
        <v>1.3400929992250064</v>
      </c>
      <c r="J17" s="448" t="str">
        <f t="shared" si="13"/>
        <v>No</v>
      </c>
      <c r="K17" s="403">
        <f t="shared" si="1"/>
        <v>0</v>
      </c>
      <c r="L17" s="139"/>
      <c r="M17" s="150"/>
      <c r="N17" s="404">
        <f>IF(W17&gt;0,1,0)</f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4"/>
        <v/>
      </c>
      <c r="U17" s="409">
        <f t="shared" si="15"/>
        <v>0</v>
      </c>
      <c r="V17" s="409">
        <f t="shared" si="16"/>
        <v>0</v>
      </c>
      <c r="W17" s="406">
        <f t="shared" si="17"/>
        <v>0</v>
      </c>
      <c r="X17" s="404">
        <f t="shared" si="18"/>
        <v>0</v>
      </c>
      <c r="Y17" s="410" t="str">
        <f t="shared" si="5"/>
        <v/>
      </c>
      <c r="Z17" s="411" t="str">
        <f t="shared" si="6"/>
        <v/>
      </c>
      <c r="AA17" s="161" t="str">
        <f t="shared" si="7"/>
        <v/>
      </c>
      <c r="AB17" s="161">
        <f t="shared" si="19"/>
        <v>0</v>
      </c>
      <c r="AC17" s="404">
        <f t="shared" si="8"/>
        <v>0</v>
      </c>
      <c r="AD17" s="404">
        <f t="shared" si="9"/>
        <v>0</v>
      </c>
      <c r="AE17" s="404">
        <f>IF(AD17&gt;30,30,IF(AD17&lt;-30,-30,(AD17)))</f>
        <v>0</v>
      </c>
      <c r="AF17" s="412">
        <f t="shared" si="10"/>
        <v>0</v>
      </c>
      <c r="AG17" s="413">
        <f>MIN(MAX(IF(S17="Yes",F17+AF17,F17),'Roster and Starting Handicaps'!M19),'Roster and Starting Handicaps'!N19)</f>
        <v>46</v>
      </c>
      <c r="AH17" s="413">
        <f>MIN(MAX(IF(S17="No",H17+AF17,H17),'Roster and Starting Handicaps'!O19,'Roster and Starting Handicaps'!P19))</f>
        <v>69.36</v>
      </c>
      <c r="AI17" s="171">
        <f>AB17+'Race #6'!AI17</f>
        <v>0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#6'!AG18</f>
        <v>194.4</v>
      </c>
      <c r="G18" s="431">
        <f t="shared" si="11"/>
        <v>1.1149919398173025</v>
      </c>
      <c r="H18" s="430">
        <f>'Race #6'!AH18</f>
        <v>212.4</v>
      </c>
      <c r="I18" s="432">
        <f t="shared" si="12"/>
        <v>1.0886673662119624</v>
      </c>
      <c r="J18" s="451" t="str">
        <f t="shared" si="13"/>
        <v>No</v>
      </c>
      <c r="K18" s="202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5"/>
        <v>0</v>
      </c>
      <c r="Q18" s="436">
        <f t="shared" si="36"/>
        <v>0</v>
      </c>
      <c r="R18" s="437">
        <f t="shared" si="4"/>
        <v>0</v>
      </c>
      <c r="S18" s="39" t="s">
        <v>166</v>
      </c>
      <c r="T18" s="438" t="str">
        <f t="shared" si="14"/>
        <v/>
      </c>
      <c r="U18" s="439">
        <f t="shared" si="15"/>
        <v>0</v>
      </c>
      <c r="V18" s="439">
        <f>IF(S18="No",0,(-(I18-G18)*Q18))</f>
        <v>0</v>
      </c>
      <c r="W18" s="436">
        <f t="shared" si="17"/>
        <v>0</v>
      </c>
      <c r="X18" s="434">
        <f t="shared" si="18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9"/>
        <v>0</v>
      </c>
      <c r="AC18" s="434">
        <f t="shared" si="8"/>
        <v>0</v>
      </c>
      <c r="AD18" s="434">
        <f t="shared" si="9"/>
        <v>0</v>
      </c>
      <c r="AE18" s="434">
        <f t="shared" si="37"/>
        <v>0</v>
      </c>
      <c r="AF18" s="441">
        <f t="shared" si="10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Handicaps'!O20,'Roster and Starting Handicaps'!P20))</f>
        <v>212.4</v>
      </c>
      <c r="AI18" s="173">
        <f>AB18+'Race #6'!AI18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v>4.9950000000000001</v>
      </c>
      <c r="G21" s="509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507" t="str">
        <f>IF($E$28&gt;0,"First Place","")</f>
        <v>First Place</v>
      </c>
      <c r="H22" s="453"/>
      <c r="I22" s="351" t="e">
        <f>IF($E$28&gt;0,VLOOKUP(1,$AA$4:$AJ$18,10,FALSE),"")</f>
        <v>#N/A</v>
      </c>
      <c r="J22" s="348"/>
      <c r="K22" s="463" t="str" cm="1">
        <f t="array" ref="K22">IFERROR(VLOOKUP(I22,$B$4:$X$18,23,0)-_xlfn.MINIFS($X$4:$X$18,$X$4:$X$18,"&gt;0"),"")</f>
        <v/>
      </c>
      <c r="L22" s="464"/>
      <c r="M22" s="463" t="str">
        <f>IFERROR(VLOOKUP(I22,$B$4:$W$18,22,0)-_xlfn.MINIFS($W$4:$W$18,$W$4:$W$18,"&gt;0"),"")</f>
        <v/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507" t="str">
        <f>IF(E28&gt;1,"Second Place","")</f>
        <v/>
      </c>
      <c r="H23" s="453"/>
      <c r="I23" s="510" t="str">
        <f>IF($E$28&gt;1,VLOOKUP(2,$AA$4:$AJ$18,10,FALSE),"")</f>
        <v/>
      </c>
      <c r="J23" s="459"/>
      <c r="K23" s="463" t="str">
        <f>IFERROR(VLOOKUP(I23,$B$4:$X$18,23,0)-_xlfn.MINIFS($X$4:$X$18,$X$4:$X$18,"&gt;0"),"")</f>
        <v/>
      </c>
      <c r="L23" s="464"/>
      <c r="M23" s="463" t="str">
        <f t="shared" ref="M23:M33" si="55">IFERROR(VLOOKUP(I23,$B$4:$W$18,22,0)-_xlfn.MINIFS($W$4:$W$18,$W$4:$W$18,"&gt;0"),"")</f>
        <v/>
      </c>
      <c r="N23" s="467"/>
      <c r="P23" s="80">
        <v>2</v>
      </c>
      <c r="Q23" s="81">
        <v>1</v>
      </c>
      <c r="U23" s="380" t="s">
        <v>180</v>
      </c>
      <c r="V23" s="380"/>
      <c r="W23" s="381" t="s">
        <v>205</v>
      </c>
      <c r="X23" s="71"/>
      <c r="Y23" s="71"/>
      <c r="Z23" s="71"/>
      <c r="AA23" s="382">
        <v>1.5210579016818133</v>
      </c>
      <c r="AD23" s="380" t="s">
        <v>231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182</v>
      </c>
      <c r="G24" s="507" t="str">
        <f>IF(E28&gt;2,"Third Place","")</f>
        <v/>
      </c>
      <c r="H24" s="453"/>
      <c r="I24" s="510" t="str">
        <f>IF($E$28&gt;2,VLOOKUP(3,$AA$4:$AJ$18,10,FALSE),"")</f>
        <v/>
      </c>
      <c r="J24" s="459"/>
      <c r="K24" s="463" t="str">
        <f t="shared" ref="K24:K33" si="56">IFERROR(VLOOKUP(I24,$B$4:$X$18,23,0)-_xlfn.MINIFS($X$4:$X$18,$X$4:$X$18,"&gt;0"),"")</f>
        <v/>
      </c>
      <c r="L24" s="464"/>
      <c r="M24" s="463" t="str">
        <f t="shared" si="55"/>
        <v/>
      </c>
      <c r="N24" s="467"/>
      <c r="P24" s="82">
        <v>3</v>
      </c>
      <c r="Q24" s="72">
        <v>2</v>
      </c>
      <c r="U24" s="380" t="s">
        <v>205</v>
      </c>
      <c r="V24" s="380"/>
      <c r="W24" s="381" t="s">
        <v>206</v>
      </c>
      <c r="X24" s="71"/>
      <c r="Y24" s="71"/>
      <c r="Z24" s="71"/>
      <c r="AA24" s="382">
        <v>1.6356001138726945</v>
      </c>
      <c r="AD24" s="380" t="s">
        <v>211</v>
      </c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550</v>
      </c>
      <c r="G25" s="507" t="str">
        <f>IF(E28&gt;3,"Fourth Place","")</f>
        <v/>
      </c>
      <c r="H25" s="453"/>
      <c r="I25" s="510" t="str">
        <f>IF($E$28&gt;3,VLOOKUP(4,$AA$4:$AJ$18,10,FALSE),"")</f>
        <v/>
      </c>
      <c r="J25" s="459"/>
      <c r="K25" s="463" t="str">
        <f t="shared" si="56"/>
        <v/>
      </c>
      <c r="L25" s="464"/>
      <c r="M25" s="463" t="str">
        <f t="shared" si="55"/>
        <v/>
      </c>
      <c r="N25" s="467"/>
      <c r="P25" s="82">
        <v>4</v>
      </c>
      <c r="Q25" s="72">
        <v>2</v>
      </c>
      <c r="U25" s="380" t="s">
        <v>212</v>
      </c>
      <c r="V25" s="380"/>
      <c r="W25" s="381" t="s">
        <v>180</v>
      </c>
      <c r="X25" s="71"/>
      <c r="Y25" s="71"/>
      <c r="Z25" s="71"/>
      <c r="AA25" s="382">
        <v>1.8379216028062659</v>
      </c>
      <c r="AD25" s="380"/>
      <c r="AE25" s="380"/>
      <c r="AF25" s="380"/>
      <c r="AG25" s="380"/>
    </row>
    <row r="26" spans="2:37" ht="18" customHeight="1" x14ac:dyDescent="0.2">
      <c r="D26" s="61"/>
      <c r="E26" s="62"/>
      <c r="G26" s="507" t="str">
        <f>IF(E28&gt;4,"Fifth Place","")</f>
        <v/>
      </c>
      <c r="H26" s="453"/>
      <c r="I26" s="510" t="str">
        <f>IF($E$28&gt;4,VLOOKUP(5,$AA$4:$AJ$18,10,FALSE),"")</f>
        <v/>
      </c>
      <c r="J26" s="459"/>
      <c r="K26" s="463" t="str">
        <f t="shared" si="56"/>
        <v/>
      </c>
      <c r="L26" s="464"/>
      <c r="M26" s="463" t="str">
        <f t="shared" si="55"/>
        <v/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0</v>
      </c>
      <c r="G27" s="507" t="str">
        <f>IF($E$28&gt;5,"Sixth Place","")</f>
        <v/>
      </c>
      <c r="H27" s="453"/>
      <c r="I27" s="510" t="str">
        <f>IF($E$28&gt;5,VLOOKUP(6,$AA$4:$AJ$18,10,FALSE),"")</f>
        <v/>
      </c>
      <c r="J27" s="459"/>
      <c r="K27" s="463" t="str">
        <f t="shared" si="56"/>
        <v/>
      </c>
      <c r="L27" s="464"/>
      <c r="M27" s="463" t="str">
        <f t="shared" si="55"/>
        <v/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1</v>
      </c>
      <c r="G28" s="507" t="str">
        <f>IF($E$28&gt;6,"Seventh Place","")</f>
        <v/>
      </c>
      <c r="H28" s="453"/>
      <c r="I28" s="510" t="str">
        <f>IF($E$28&gt;6,VLOOKUP(7,$AA$4:$AJ$18,10,FALSE),"")</f>
        <v/>
      </c>
      <c r="J28" s="459"/>
      <c r="K28" s="463" t="str">
        <f t="shared" si="56"/>
        <v/>
      </c>
      <c r="L28" s="464"/>
      <c r="M28" s="463" t="str">
        <f t="shared" si="55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 t="e">
        <f>VLOOKUP(E28,P23:Q33,2,FALSE)</f>
        <v>#N/A</v>
      </c>
      <c r="G29" s="507" t="str">
        <f>IF(E28&gt;7,"EighthPlace","")</f>
        <v/>
      </c>
      <c r="H29" s="453"/>
      <c r="I29" s="510" t="str">
        <f>IF($E$28&gt;7,VLOOKUP(8,$AA$4:$AJ$18,10,FALSE),"")</f>
        <v/>
      </c>
      <c r="J29" s="459"/>
      <c r="K29" s="463" t="str">
        <f t="shared" si="56"/>
        <v/>
      </c>
      <c r="L29" s="464"/>
      <c r="M29" s="463" t="str">
        <f t="shared" si="55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 t="e">
        <f>VLOOKUP(E29,Z4:AC18,4,FALSE)</f>
        <v>#N/A</v>
      </c>
      <c r="G30" s="507" t="str">
        <f>IF(E28&gt;8,"Ninth Place","")</f>
        <v/>
      </c>
      <c r="H30" s="453"/>
      <c r="I30" s="510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280</v>
      </c>
      <c r="G31" s="507" t="str">
        <f>IF(E28&gt;9,"Tenth Place","")</f>
        <v/>
      </c>
      <c r="H31" s="453"/>
      <c r="I31" s="510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f>SUM(AA22:AA30)</f>
        <v>4.994579618360774</v>
      </c>
    </row>
    <row r="32" spans="2:37" ht="18" customHeight="1" x14ac:dyDescent="0.2">
      <c r="D32" s="56" t="s">
        <v>190</v>
      </c>
      <c r="E32" s="377">
        <f>E25+E31</f>
        <v>830</v>
      </c>
      <c r="G32" s="507" t="str">
        <f>IF(E28&gt;10,"Eleventh Place","")</f>
        <v/>
      </c>
      <c r="H32" s="453"/>
      <c r="I32" s="510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508" t="str">
        <f>IF(E28&gt;11,"Twelth Place","")</f>
        <v/>
      </c>
      <c r="H33" s="455"/>
      <c r="I33" s="511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0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11" priority="3" operator="equal">
      <formula>1</formula>
    </cfRule>
  </conditionalFormatting>
  <conditionalFormatting sqref="S4:T14 S15 S16:T18">
    <cfRule type="cellIs" dxfId="10" priority="1" operator="equal">
      <formula>"Yes"</formula>
    </cfRule>
  </conditionalFormatting>
  <dataValidations count="2">
    <dataValidation type="list" allowBlank="1" showInputMessage="1" showErrorMessage="1" sqref="J4:J18 S4:S18 E22 E26" xr:uid="{53EA530A-3018-0D4B-83F3-B1184E97A5FE}">
      <formula1>$AN$4:$AN$5</formula1>
    </dataValidation>
    <dataValidation type="list" allowBlank="1" showInputMessage="1" showErrorMessage="1" sqref="E24" xr:uid="{07701F13-53D5-4790-A74D-1A254851A2D5}">
      <formula1>$I$37:$I$39</formula1>
    </dataValidation>
  </dataValidations>
  <printOptions horizontalCentered="1"/>
  <pageMargins left="0.7" right="0.7" top="0.75" bottom="0.75" header="0.3" footer="0.3"/>
  <pageSetup paperSize="9" scale="57" fitToWidth="2" orientation="landscape" r:id="rId1"/>
  <ignoredErrors>
    <ignoredError sqref="H7 H9 H10 H14:H16 H18 H12:H13 H4" 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D6002-A645-9D47-8566-DD26E463CC97}">
  <sheetPr>
    <pageSetUpPr fitToPage="1"/>
  </sheetPr>
  <dimension ref="B1:AN46"/>
  <sheetViews>
    <sheetView zoomScaleNormal="100" workbookViewId="0">
      <selection activeCell="S41" sqref="S41:S42"/>
    </sheetView>
  </sheetViews>
  <sheetFormatPr baseColWidth="10" defaultColWidth="8.83203125" defaultRowHeight="15" x14ac:dyDescent="0.2"/>
  <cols>
    <col min="1" max="1" width="2.83203125" customWidth="1"/>
    <col min="2" max="2" width="12.33203125" customWidth="1"/>
    <col min="3" max="3" width="16.5" customWidth="1"/>
    <col min="4" max="4" width="32" customWidth="1"/>
    <col min="5" max="14" width="10.83203125" customWidth="1"/>
    <col min="15" max="15" width="10.83203125" style="1" customWidth="1"/>
    <col min="16" max="22" width="10.83203125" customWidth="1"/>
    <col min="23" max="26" width="10.83203125" style="1" customWidth="1"/>
    <col min="27" max="35" width="10.83203125" customWidth="1"/>
    <col min="36" max="36" width="11.83203125" bestFit="1" customWidth="1"/>
    <col min="37" max="37" width="2.83203125" customWidth="1"/>
    <col min="38" max="38" width="20.83203125" customWidth="1"/>
    <col min="39" max="39" width="6.33203125" customWidth="1"/>
    <col min="41" max="41" width="0" hidden="1" customWidth="1"/>
  </cols>
  <sheetData>
    <row r="1" spans="2:40" ht="15" customHeight="1" thickBot="1" x14ac:dyDescent="0.25">
      <c r="N1" s="1"/>
      <c r="O1"/>
      <c r="V1" s="1"/>
      <c r="Z1"/>
    </row>
    <row r="2" spans="2:40" ht="15" customHeight="1" thickBot="1" x14ac:dyDescent="0.25">
      <c r="B2" s="23" t="s">
        <v>213</v>
      </c>
      <c r="C2" s="10"/>
      <c r="D2" s="10"/>
      <c r="E2" s="10"/>
      <c r="F2" s="10"/>
      <c r="G2" s="10"/>
      <c r="H2" s="10"/>
      <c r="K2" s="10"/>
      <c r="L2" s="10"/>
      <c r="M2" s="10"/>
      <c r="N2" s="24"/>
      <c r="O2" s="10"/>
      <c r="P2" s="10"/>
      <c r="Q2" s="10"/>
      <c r="R2" s="99"/>
      <c r="S2" s="10"/>
      <c r="T2" s="471" t="s">
        <v>114</v>
      </c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3"/>
    </row>
    <row r="3" spans="2:40" s="18" customFormat="1" ht="81" thickBot="1" x14ac:dyDescent="0.25">
      <c r="B3" s="96" t="s">
        <v>19</v>
      </c>
      <c r="C3" s="97" t="s">
        <v>20</v>
      </c>
      <c r="D3" s="97" t="s">
        <v>132</v>
      </c>
      <c r="E3" s="344" t="s">
        <v>133</v>
      </c>
      <c r="F3" s="14" t="s">
        <v>134</v>
      </c>
      <c r="G3" s="15" t="s">
        <v>135</v>
      </c>
      <c r="H3" s="14" t="s">
        <v>136</v>
      </c>
      <c r="I3" s="15" t="s">
        <v>137</v>
      </c>
      <c r="J3" s="29" t="s">
        <v>138</v>
      </c>
      <c r="K3" s="30" t="s">
        <v>139</v>
      </c>
      <c r="L3" s="16" t="s">
        <v>140</v>
      </c>
      <c r="M3" s="17" t="s">
        <v>141</v>
      </c>
      <c r="N3" s="12" t="s">
        <v>142</v>
      </c>
      <c r="O3" s="127" t="s">
        <v>143</v>
      </c>
      <c r="P3" s="17" t="s">
        <v>144</v>
      </c>
      <c r="Q3" s="17" t="s">
        <v>145</v>
      </c>
      <c r="R3" s="15" t="s">
        <v>146</v>
      </c>
      <c r="S3" s="13" t="s">
        <v>147</v>
      </c>
      <c r="T3" s="343" t="s">
        <v>148</v>
      </c>
      <c r="U3" s="54" t="s">
        <v>149</v>
      </c>
      <c r="V3" s="55" t="s">
        <v>150</v>
      </c>
      <c r="W3" s="48" t="s">
        <v>151</v>
      </c>
      <c r="X3" s="41" t="s">
        <v>152</v>
      </c>
      <c r="Y3" s="42" t="s">
        <v>153</v>
      </c>
      <c r="Z3" s="41" t="s">
        <v>154</v>
      </c>
      <c r="AA3" s="123" t="s">
        <v>155</v>
      </c>
      <c r="AB3" s="123" t="s">
        <v>156</v>
      </c>
      <c r="AC3" s="46" t="s">
        <v>157</v>
      </c>
      <c r="AD3" s="46" t="s">
        <v>158</v>
      </c>
      <c r="AE3" s="46" t="s">
        <v>159</v>
      </c>
      <c r="AF3" s="46" t="s">
        <v>160</v>
      </c>
      <c r="AG3" s="46" t="s">
        <v>161</v>
      </c>
      <c r="AH3" s="46" t="s">
        <v>162</v>
      </c>
      <c r="AI3" s="123" t="s">
        <v>163</v>
      </c>
      <c r="AJ3" s="124" t="str">
        <f t="shared" ref="AJ3:AJ18" si="0">B3</f>
        <v>Yacht Name</v>
      </c>
      <c r="AK3" s="49"/>
      <c r="AL3" s="49" t="s">
        <v>164</v>
      </c>
    </row>
    <row r="4" spans="2:40" ht="30" customHeight="1" x14ac:dyDescent="0.2">
      <c r="B4" s="156" t="str">
        <f>'2026 Suttons Finish Summary'!I5</f>
        <v>Asylum</v>
      </c>
      <c r="C4" s="383" t="str">
        <f>'2026 Suttons Finish Summary'!J5</f>
        <v>Frers 33</v>
      </c>
      <c r="D4" s="383" t="str">
        <f>'2026 Suttons Finish Summary'!K5</f>
        <v>Doug Kilgren</v>
      </c>
      <c r="E4" s="132">
        <f>'Roster and Starting Handicaps'!H6</f>
        <v>126</v>
      </c>
      <c r="F4" s="132">
        <f>'Race #7'!AG4</f>
        <v>110.1</v>
      </c>
      <c r="G4" s="87">
        <f>$E$32/($E$25+F4)</f>
        <v>1.2573852446598999</v>
      </c>
      <c r="H4" s="132">
        <f>'Race #7'!AH4</f>
        <v>151.19999999999999</v>
      </c>
      <c r="I4" s="88">
        <f>$E$32/($E$25+H4)</f>
        <v>1.1836851112378779</v>
      </c>
      <c r="J4" s="449" t="str">
        <f>IF(M4&gt;0,"Yes","No")</f>
        <v>No</v>
      </c>
      <c r="K4" s="86">
        <f t="shared" ref="K4:K18" si="1">IF(J4="Yes",1,0)</f>
        <v>0</v>
      </c>
      <c r="L4" s="133"/>
      <c r="M4" s="133"/>
      <c r="N4" s="85">
        <f t="shared" ref="N4:N18" si="2">IF(W4&gt;0,1,0)</f>
        <v>0</v>
      </c>
      <c r="O4" s="128" t="str">
        <f t="shared" ref="O4:O18" si="3">IF($M4=0,"",RANK($M4,$M$4:$M$18,1)-COUNTIF($M$4:$M$18,0))</f>
        <v/>
      </c>
      <c r="P4" s="134">
        <f>M4-L4</f>
        <v>0</v>
      </c>
      <c r="Q4" s="135">
        <f>HOUR(P4)*3600+MINUTE(P4)*60+SECOND(P4)</f>
        <v>0</v>
      </c>
      <c r="R4" s="136">
        <f t="shared" ref="R4:R18" si="4">IF(M4&gt;0,($H4*$E$21),0)</f>
        <v>0</v>
      </c>
      <c r="S4" s="37" t="s">
        <v>166</v>
      </c>
      <c r="T4" s="93" t="str">
        <f>IF(N4=1,IF(S4="No",H4,F4),"")</f>
        <v/>
      </c>
      <c r="U4" s="137">
        <f>IF(S4="No",0,((H4-F4)*$E$21))</f>
        <v>0</v>
      </c>
      <c r="V4" s="137">
        <f>IF(S4="No",0,(-(I4-G4)*Q4))</f>
        <v>0</v>
      </c>
      <c r="W4" s="135">
        <f>Q4-R4+U4</f>
        <v>0</v>
      </c>
      <c r="X4" s="85">
        <f>IF(S4="Yes",Q4*G4,Q4*I4)</f>
        <v>0</v>
      </c>
      <c r="Y4" s="89" t="str">
        <f t="shared" ref="Y4:Y18" si="5">IF($W4=0,"",RANK($W4,$W$4:$W$18,1)-COUNTIF($W$4:$W$18,0))</f>
        <v/>
      </c>
      <c r="Z4" s="89" t="str">
        <f t="shared" ref="Z4:Z18" si="6">IF($X4=0,"",RANK($X4,$X$4:$X$18,1)-COUNTIF($X$4:$X$18,0))</f>
        <v/>
      </c>
      <c r="AA4" s="159" t="str">
        <f t="shared" ref="AA4:AA18" si="7">IF($E$22="Yes",Y4,Z4)</f>
        <v/>
      </c>
      <c r="AB4" s="167">
        <f>IF($E$22="Yes",IF(Y4=1,5,IF(Y4=2,4,IF(Y4=3,3,IF(Y4=4,2,IF(Y4=5,1,0))))),IF(Z4=1,5,IF(Z4=2,4,IF(Z4=3,3,IF(Z4=4,2,IF(Z4=5,1,0))))))+K4</f>
        <v>0</v>
      </c>
      <c r="AC4" s="174">
        <f t="shared" ref="AC4:AC18" si="8">X4/$E$21</f>
        <v>0</v>
      </c>
      <c r="AD4" s="85">
        <f t="shared" ref="AD4:AD18" si="9">IF(AC4&gt;0,((X4/$E$21)-$E$30),0)</f>
        <v>0</v>
      </c>
      <c r="AE4" s="85">
        <f>IF(AD4&gt;30,30,IF(AD4&lt;-30,-30,(AD4)))</f>
        <v>0</v>
      </c>
      <c r="AF4" s="90">
        <f t="shared" ref="AF4:AF18" si="10">AE4*$E$23</f>
        <v>0</v>
      </c>
      <c r="AG4" s="138">
        <f>MIN(MAX(IF(S4="Yes",F4+AF4,F4),'Roster and Starting Handicaps'!M6),'Roster and Starting Handicaps'!N6)</f>
        <v>110.1</v>
      </c>
      <c r="AH4" s="138">
        <f>MIN(MAX(IF(S4="No",H4+AF4,H4),'Roster and Starting Handicaps'!O6,'Roster and Starting Handicaps'!P6))</f>
        <v>151.19999999999999</v>
      </c>
      <c r="AI4" s="168">
        <f>AB4+'Race #7'!AI4</f>
        <v>0</v>
      </c>
      <c r="AJ4" s="175" t="str">
        <f t="shared" si="0"/>
        <v>Asylum</v>
      </c>
      <c r="AK4" s="51"/>
      <c r="AN4" s="1" t="s">
        <v>165</v>
      </c>
    </row>
    <row r="5" spans="2:40" ht="30" customHeight="1" x14ac:dyDescent="0.2">
      <c r="B5" s="157" t="str">
        <f>'2026 Suttons Finish Summary'!I6</f>
        <v>Exit Strategy</v>
      </c>
      <c r="C5" s="384" t="str">
        <f>'2026 Suttons Finish Summary'!J6</f>
        <v>J Boats J 105</v>
      </c>
      <c r="D5" s="384" t="str">
        <f>'2026 Suttons Finish Summary'!K6</f>
        <v>John Stamos/John Woods</v>
      </c>
      <c r="E5" s="27">
        <f>'Roster and Starting Handicaps'!H7</f>
        <v>110</v>
      </c>
      <c r="F5" s="27">
        <f>'Race #7'!AG5</f>
        <v>87</v>
      </c>
      <c r="G5" s="31">
        <f t="shared" ref="G5:G18" si="11">$E$32/($E$25+F5)</f>
        <v>1.3029827315541602</v>
      </c>
      <c r="H5" s="27">
        <f>'Race #7'!AH5</f>
        <v>132</v>
      </c>
      <c r="I5" s="35">
        <f t="shared" ref="I5:I18" si="12">$E$32/($E$25+H5)</f>
        <v>1.217008797653959</v>
      </c>
      <c r="J5" s="447" t="str">
        <f t="shared" ref="J5:J18" si="13">IF(M5&gt;0,"Yes","No")</f>
        <v>No</v>
      </c>
      <c r="K5" s="36">
        <f t="shared" si="1"/>
        <v>0</v>
      </c>
      <c r="L5" s="139"/>
      <c r="M5" s="139"/>
      <c r="N5" s="26">
        <f>IF(W5&gt;0,1,0)</f>
        <v>0</v>
      </c>
      <c r="O5" s="129" t="str">
        <f t="shared" si="3"/>
        <v/>
      </c>
      <c r="P5" s="140">
        <f>M5-L5</f>
        <v>0</v>
      </c>
      <c r="Q5" s="141">
        <f>HOUR(P5)*3600+MINUTE(P5)*60+SECOND(P5)</f>
        <v>0</v>
      </c>
      <c r="R5" s="142">
        <f t="shared" si="4"/>
        <v>0</v>
      </c>
      <c r="S5" s="38" t="s">
        <v>166</v>
      </c>
      <c r="T5" s="94" t="str">
        <f t="shared" ref="T5:T18" si="14">IF(N5=1,IF(S5="No",H5,F5),"")</f>
        <v/>
      </c>
      <c r="U5" s="122">
        <f t="shared" ref="U5:U18" si="15">IF(S5="No",0,((H5-F5)*$E$21))</f>
        <v>0</v>
      </c>
      <c r="V5" s="122">
        <f t="shared" ref="V5:V17" si="16">IF(S5="No",0,(-(I5-G5)*Q5))</f>
        <v>0</v>
      </c>
      <c r="W5" s="141">
        <f t="shared" ref="W5:W18" si="17">Q5-R5+U5</f>
        <v>0</v>
      </c>
      <c r="X5" s="26">
        <f t="shared" ref="X5:X18" si="18">IF(S5="Yes",Q5*G5,Q5*I5)</f>
        <v>0</v>
      </c>
      <c r="Y5" s="40" t="str">
        <f t="shared" si="5"/>
        <v/>
      </c>
      <c r="Z5" s="40" t="str">
        <f t="shared" si="6"/>
        <v/>
      </c>
      <c r="AA5" s="160" t="str">
        <f t="shared" si="7"/>
        <v/>
      </c>
      <c r="AB5" s="169">
        <f t="shared" ref="AB5:AB18" si="19">IF($E$22="Yes",IF(Y5=1,5,IF(Y5=2,4,IF(Y5=3,3,IF(Y5=4,2,IF(Y5=5,1,0))))),IF(Z5=1,5,IF(Z5=2,4,IF(Z5=3,3,IF(Z5=4,2,IF(Z5=5,1,0))))))+K5</f>
        <v>0</v>
      </c>
      <c r="AC5" s="26">
        <f t="shared" si="8"/>
        <v>0</v>
      </c>
      <c r="AD5" s="26">
        <f t="shared" si="9"/>
        <v>0</v>
      </c>
      <c r="AE5" s="26">
        <f>IF(AD5&gt;30,30,IF(AD5&lt;-30,-30,(AD5)))</f>
        <v>0</v>
      </c>
      <c r="AF5" s="47">
        <f t="shared" si="10"/>
        <v>0</v>
      </c>
      <c r="AG5" s="164">
        <f>MIN(MAX(IF(S5="Yes",F5+AF5,F5),'Roster and Starting Handicaps'!M7),'Roster and Starting Handicaps'!N7)</f>
        <v>87</v>
      </c>
      <c r="AH5" s="164">
        <f>MIN(MAX(IF(S5="No",H5+AF5,H5),'Roster and Starting Handicaps'!O7,'Roster and Starting Handicaps'!P7))</f>
        <v>132</v>
      </c>
      <c r="AI5" s="170">
        <f>AB5+'Race #7'!AI5</f>
        <v>6</v>
      </c>
      <c r="AJ5" s="91" t="str">
        <f t="shared" si="0"/>
        <v>Exit Strategy</v>
      </c>
      <c r="AK5" s="51"/>
      <c r="AN5" s="1" t="s">
        <v>166</v>
      </c>
    </row>
    <row r="6" spans="2:40" ht="30" customHeight="1" x14ac:dyDescent="0.2">
      <c r="B6" s="158" t="s">
        <v>69</v>
      </c>
      <c r="C6" s="385" t="s">
        <v>70</v>
      </c>
      <c r="D6" s="385" t="s">
        <v>71</v>
      </c>
      <c r="E6" s="143">
        <f>'Roster and Starting Handicaps'!H8</f>
        <v>65.599999999999994</v>
      </c>
      <c r="F6" s="354" t="e">
        <f>'Roster and Starting Handicaps'!#REF!</f>
        <v>#REF!</v>
      </c>
      <c r="G6" s="34" t="e">
        <f t="shared" ref="G6" si="20">$E$32/($E$25+F6)</f>
        <v>#REF!</v>
      </c>
      <c r="H6" s="354" t="e">
        <f>'Roster and Starting Handicaps'!#REF!</f>
        <v>#REF!</v>
      </c>
      <c r="I6" s="43" t="e">
        <f t="shared" ref="I6" si="21">$E$32/($E$25+H6)</f>
        <v>#REF!</v>
      </c>
      <c r="J6" s="450" t="str">
        <f t="shared" si="13"/>
        <v>No</v>
      </c>
      <c r="K6" s="44">
        <f t="shared" ref="K6" si="22">IF(J6="Yes",1,0)</f>
        <v>0</v>
      </c>
      <c r="L6" s="139"/>
      <c r="M6" s="139"/>
      <c r="N6" s="32">
        <f>IF(W6&gt;0,1,0)</f>
        <v>0</v>
      </c>
      <c r="O6" s="129" t="str">
        <f t="shared" si="3"/>
        <v/>
      </c>
      <c r="P6" s="144">
        <f>M6-L6</f>
        <v>0</v>
      </c>
      <c r="Q6" s="145">
        <f>HOUR(P6)*3600+MINUTE(P6)*60+SECOND(P6)</f>
        <v>0</v>
      </c>
      <c r="R6" s="146">
        <f t="shared" ref="R6" si="23">IF(M6&gt;0,($H6*$E$21),0)</f>
        <v>0</v>
      </c>
      <c r="S6" s="38" t="s">
        <v>166</v>
      </c>
      <c r="T6" s="95" t="str">
        <f t="shared" ref="T6" si="24">IF(N6=1,IF(S6="No",H6,F6),"")</f>
        <v/>
      </c>
      <c r="U6" s="147">
        <f t="shared" ref="U6" si="25">IF(S6="No",0,((H6-F6)*$E$21))</f>
        <v>0</v>
      </c>
      <c r="V6" s="147">
        <f t="shared" ref="V6" si="26">IF(S6="No",0,(-(I6-G6)*Q6))</f>
        <v>0</v>
      </c>
      <c r="W6" s="145">
        <f t="shared" ref="W6" si="27">Q6-R6+U6</f>
        <v>0</v>
      </c>
      <c r="X6" s="32" t="e">
        <f t="shared" ref="X6" si="28">IF(S6="Yes",Q6*G6,Q6*I6)</f>
        <v>#REF!</v>
      </c>
      <c r="Y6" s="45" t="str">
        <f t="shared" si="5"/>
        <v/>
      </c>
      <c r="Z6" s="45" t="e">
        <f t="shared" si="6"/>
        <v>#REF!</v>
      </c>
      <c r="AA6" s="160" t="e">
        <f t="shared" ref="AA6" si="29">IF($E$22="Yes",Y6,Z6)</f>
        <v>#REF!</v>
      </c>
      <c r="AB6" s="169" t="e">
        <f t="shared" ref="AB6" si="30">IF($E$22="Yes",IF(Y6=1,5,IF(Y6=2,4,IF(Y6=3,3,IF(Y6=4,2,IF(Y6=5,1,0))))),IF(Z6=1,5,IF(Z6=2,4,IF(Z6=3,3,IF(Z6=4,2,IF(Z6=5,1,0))))))+K6</f>
        <v>#REF!</v>
      </c>
      <c r="AC6" s="32" t="e">
        <f t="shared" ref="AC6" si="31">X6/$E$21</f>
        <v>#REF!</v>
      </c>
      <c r="AD6" s="32" t="e">
        <f t="shared" ref="AD6" si="32">IF(AC6&gt;0,((X6/$E$21)-$E$30),0)</f>
        <v>#REF!</v>
      </c>
      <c r="AE6" s="32" t="e">
        <f>IF(AD6&gt;30,30,IF(AD6&lt;-30,-30,(AD6)))</f>
        <v>#REF!</v>
      </c>
      <c r="AF6" s="33" t="e">
        <f t="shared" ref="AF6" si="33">AE6*$E$23</f>
        <v>#REF!</v>
      </c>
      <c r="AG6" s="356" t="e">
        <f>MIN(MAX(IF(S6="Yes",F6+AF6,F6),'Roster and Starting Handicaps'!M8),'Roster and Starting Handicaps'!N8)</f>
        <v>#REF!</v>
      </c>
      <c r="AH6" s="356" t="e">
        <f>MIN(MAX(IF(S6="No",H6+AF6,H6),'Roster and Starting Handicaps'!O8,'Roster and Starting Handicaps'!P8))</f>
        <v>#REF!</v>
      </c>
      <c r="AI6" s="170" t="e">
        <f>AB6+'Race #7'!AI6</f>
        <v>#REF!</v>
      </c>
      <c r="AJ6" s="125" t="str">
        <f t="shared" ref="AJ6" si="34">B6</f>
        <v>Cheerio</v>
      </c>
      <c r="AK6" s="51"/>
      <c r="AN6" s="1"/>
    </row>
    <row r="7" spans="2:40" ht="30" customHeight="1" x14ac:dyDescent="0.2">
      <c r="B7" s="157" t="str">
        <f>'2026 Suttons Finish Summary'!I8</f>
        <v>Magoo</v>
      </c>
      <c r="C7" s="384" t="str">
        <f>'2026 Suttons Finish Summary'!J8</f>
        <v>Catalina 28 TM MK2</v>
      </c>
      <c r="D7" s="384" t="str">
        <f>'2026 Suttons Finish Summary'!K8</f>
        <v>Steve Luebkeman</v>
      </c>
      <c r="E7" s="27">
        <f>'Roster and Starting Handicaps'!H9</f>
        <v>201</v>
      </c>
      <c r="F7" s="27">
        <f>'Race #7'!AG7</f>
        <v>195</v>
      </c>
      <c r="G7" s="31">
        <f t="shared" si="11"/>
        <v>1.1140939597315436</v>
      </c>
      <c r="H7" s="27">
        <f>'Race #7'!AH7</f>
        <v>241.2</v>
      </c>
      <c r="I7" s="35">
        <f t="shared" si="12"/>
        <v>1.0490394337714863</v>
      </c>
      <c r="J7" s="447" t="str">
        <f t="shared" si="13"/>
        <v>No</v>
      </c>
      <c r="K7" s="36">
        <f t="shared" si="1"/>
        <v>0</v>
      </c>
      <c r="L7" s="139"/>
      <c r="M7" s="139"/>
      <c r="N7" s="26">
        <f t="shared" si="2"/>
        <v>0</v>
      </c>
      <c r="O7" s="129" t="str">
        <f t="shared" si="3"/>
        <v/>
      </c>
      <c r="P7" s="140">
        <f t="shared" ref="P7:P18" si="35">M7-L7</f>
        <v>0</v>
      </c>
      <c r="Q7" s="141">
        <f t="shared" ref="Q7:Q18" si="36">HOUR(P7)*3600+MINUTE(P7)*60+SECOND(P7)</f>
        <v>0</v>
      </c>
      <c r="R7" s="142">
        <f t="shared" si="4"/>
        <v>0</v>
      </c>
      <c r="S7" s="38" t="s">
        <v>166</v>
      </c>
      <c r="T7" s="94" t="str">
        <f t="shared" si="14"/>
        <v/>
      </c>
      <c r="U7" s="122">
        <f t="shared" si="15"/>
        <v>0</v>
      </c>
      <c r="V7" s="122">
        <f t="shared" si="16"/>
        <v>0</v>
      </c>
      <c r="W7" s="141">
        <f t="shared" si="17"/>
        <v>0</v>
      </c>
      <c r="X7" s="26">
        <f t="shared" si="18"/>
        <v>0</v>
      </c>
      <c r="Y7" s="40" t="str">
        <f t="shared" si="5"/>
        <v/>
      </c>
      <c r="Z7" s="40" t="str">
        <f t="shared" si="6"/>
        <v/>
      </c>
      <c r="AA7" s="160" t="str">
        <f t="shared" si="7"/>
        <v/>
      </c>
      <c r="AB7" s="169">
        <f t="shared" si="19"/>
        <v>0</v>
      </c>
      <c r="AC7" s="26">
        <f t="shared" si="8"/>
        <v>0</v>
      </c>
      <c r="AD7" s="26">
        <f t="shared" si="9"/>
        <v>0</v>
      </c>
      <c r="AE7" s="26">
        <f t="shared" ref="AE7:AE18" si="37">IF(AD7&gt;30,30,IF(AD7&lt;-30,-30,(AD7)))</f>
        <v>0</v>
      </c>
      <c r="AF7" s="47">
        <f t="shared" si="10"/>
        <v>0</v>
      </c>
      <c r="AG7" s="149">
        <f>MIN(MAX(IF(S7="Yes",F7+AF7,F7),'Roster and Starting Handicaps'!M9),'Roster and Starting Handicaps'!N9)</f>
        <v>195</v>
      </c>
      <c r="AH7" s="149">
        <f>MIN(MAX(IF(S7="No",H7+AF7,H7),'Roster and Starting Handicaps'!O9,'Roster and Starting Handicaps'!P9))</f>
        <v>241.2</v>
      </c>
      <c r="AI7" s="170">
        <f>AB7+'Race #7'!AI7</f>
        <v>0</v>
      </c>
      <c r="AJ7" s="91" t="str">
        <f t="shared" si="0"/>
        <v>Magoo</v>
      </c>
      <c r="AK7" s="51"/>
    </row>
    <row r="8" spans="2:40" ht="30" customHeight="1" x14ac:dyDescent="0.2">
      <c r="B8" s="158" t="str">
        <f>'2026 Suttons Finish Summary'!I9</f>
        <v>Feng Shui</v>
      </c>
      <c r="C8" s="385" t="str">
        <f>'2026 Suttons Finish Summary'!J9</f>
        <v>C&amp;C 34</v>
      </c>
      <c r="D8" s="385" t="str">
        <f>'2026 Suttons Finish Summary'!K9</f>
        <v>Mike Finazzo</v>
      </c>
      <c r="E8" s="143">
        <f>'Roster and Starting Handicaps'!H10</f>
        <v>169</v>
      </c>
      <c r="F8" s="143">
        <f>'Race #7'!AG8</f>
        <v>164.2</v>
      </c>
      <c r="G8" s="34">
        <f t="shared" si="11"/>
        <v>1.162139456734808</v>
      </c>
      <c r="H8" s="143">
        <f>'Race #7'!AH8</f>
        <v>202.79999999999998</v>
      </c>
      <c r="I8" s="43">
        <f t="shared" si="12"/>
        <v>1.1025504782146653</v>
      </c>
      <c r="J8" s="450" t="str">
        <f t="shared" si="13"/>
        <v>No</v>
      </c>
      <c r="K8" s="44">
        <f t="shared" si="1"/>
        <v>0</v>
      </c>
      <c r="L8" s="139"/>
      <c r="M8" s="139"/>
      <c r="N8" s="32">
        <f>IF(W8&gt;0,1,0)</f>
        <v>0</v>
      </c>
      <c r="O8" s="129" t="str">
        <f t="shared" si="3"/>
        <v/>
      </c>
      <c r="P8" s="144">
        <f>M8-L8</f>
        <v>0</v>
      </c>
      <c r="Q8" s="145">
        <f>HOUR(P8)*3600+MINUTE(P8)*60+SECOND(P8)</f>
        <v>0</v>
      </c>
      <c r="R8" s="146">
        <f t="shared" si="4"/>
        <v>0</v>
      </c>
      <c r="S8" s="38" t="s">
        <v>166</v>
      </c>
      <c r="T8" s="95" t="str">
        <f t="shared" si="14"/>
        <v/>
      </c>
      <c r="U8" s="147">
        <f t="shared" si="15"/>
        <v>0</v>
      </c>
      <c r="V8" s="147">
        <f t="shared" si="16"/>
        <v>0</v>
      </c>
      <c r="W8" s="145">
        <f t="shared" si="17"/>
        <v>0</v>
      </c>
      <c r="X8" s="32">
        <f t="shared" si="18"/>
        <v>0</v>
      </c>
      <c r="Y8" s="45" t="str">
        <f t="shared" si="5"/>
        <v/>
      </c>
      <c r="Z8" s="45" t="str">
        <f t="shared" si="6"/>
        <v/>
      </c>
      <c r="AA8" s="160" t="str">
        <f t="shared" si="7"/>
        <v/>
      </c>
      <c r="AB8" s="169">
        <f t="shared" si="19"/>
        <v>0</v>
      </c>
      <c r="AC8" s="32">
        <f t="shared" si="8"/>
        <v>0</v>
      </c>
      <c r="AD8" s="32">
        <f t="shared" si="9"/>
        <v>0</v>
      </c>
      <c r="AE8" s="32">
        <f>IF(AD8&gt;30,30,IF(AD8&lt;-30,-30,(AD8)))</f>
        <v>0</v>
      </c>
      <c r="AF8" s="33">
        <f t="shared" si="10"/>
        <v>0</v>
      </c>
      <c r="AG8" s="148">
        <f>MIN(MAX(IF(S8="Yes",F8+AF8,F8),'Roster and Starting Handicaps'!M10),'Roster and Starting Handicaps'!N10)</f>
        <v>164.2</v>
      </c>
      <c r="AH8" s="148">
        <f>MIN(MAX(IF(S8="No",H8+AF8,H8),'Roster and Starting Handicaps'!O10,'Roster and Starting Handicaps'!P10))</f>
        <v>202.79999999999998</v>
      </c>
      <c r="AI8" s="170">
        <f>AB8+'Race #7'!AI8</f>
        <v>10</v>
      </c>
      <c r="AJ8" s="125" t="str">
        <f t="shared" si="0"/>
        <v>Feng Shui</v>
      </c>
      <c r="AK8" s="51"/>
    </row>
    <row r="9" spans="2:40" ht="30" customHeight="1" x14ac:dyDescent="0.2">
      <c r="B9" s="157" t="str">
        <f>'2026 Suttons Finish Summary'!I10</f>
        <v>Grin</v>
      </c>
      <c r="C9" s="384" t="str">
        <f>'2026 Suttons Finish Summary'!J10</f>
        <v>Ericson 32-200</v>
      </c>
      <c r="D9" s="384" t="str">
        <f>'2026 Suttons Finish Summary'!K10</f>
        <v>John Woomer</v>
      </c>
      <c r="E9" s="27">
        <f>'Roster and Starting Handicaps'!H11</f>
        <v>177</v>
      </c>
      <c r="F9" s="27">
        <f>'Race #7'!AG9</f>
        <v>194.4</v>
      </c>
      <c r="G9" s="31">
        <f t="shared" si="11"/>
        <v>1.1149919398173025</v>
      </c>
      <c r="H9" s="27">
        <f>'Race #7'!AH9</f>
        <v>215.4</v>
      </c>
      <c r="I9" s="35">
        <f t="shared" si="12"/>
        <v>1.0844003135615365</v>
      </c>
      <c r="J9" s="447" t="str">
        <f t="shared" si="13"/>
        <v>No</v>
      </c>
      <c r="K9" s="36">
        <f t="shared" si="1"/>
        <v>0</v>
      </c>
      <c r="L9" s="139"/>
      <c r="M9" s="139"/>
      <c r="N9" s="26">
        <f t="shared" si="2"/>
        <v>0</v>
      </c>
      <c r="O9" s="129" t="str">
        <f t="shared" si="3"/>
        <v/>
      </c>
      <c r="P9" s="140">
        <f t="shared" si="35"/>
        <v>0</v>
      </c>
      <c r="Q9" s="141">
        <f t="shared" si="36"/>
        <v>0</v>
      </c>
      <c r="R9" s="142">
        <f t="shared" si="4"/>
        <v>0</v>
      </c>
      <c r="S9" s="38" t="s">
        <v>166</v>
      </c>
      <c r="T9" s="94" t="str">
        <f t="shared" si="14"/>
        <v/>
      </c>
      <c r="U9" s="122">
        <f t="shared" si="15"/>
        <v>0</v>
      </c>
      <c r="V9" s="122">
        <f t="shared" si="16"/>
        <v>0</v>
      </c>
      <c r="W9" s="141">
        <f t="shared" si="17"/>
        <v>0</v>
      </c>
      <c r="X9" s="26">
        <f t="shared" si="18"/>
        <v>0</v>
      </c>
      <c r="Y9" s="40" t="str">
        <f t="shared" si="5"/>
        <v/>
      </c>
      <c r="Z9" s="40" t="str">
        <f t="shared" si="6"/>
        <v/>
      </c>
      <c r="AA9" s="160" t="str">
        <f t="shared" si="7"/>
        <v/>
      </c>
      <c r="AB9" s="169">
        <f t="shared" si="19"/>
        <v>0</v>
      </c>
      <c r="AC9" s="26">
        <f t="shared" si="8"/>
        <v>0</v>
      </c>
      <c r="AD9" s="26">
        <f t="shared" si="9"/>
        <v>0</v>
      </c>
      <c r="AE9" s="26">
        <f t="shared" si="37"/>
        <v>0</v>
      </c>
      <c r="AF9" s="47">
        <f t="shared" si="10"/>
        <v>0</v>
      </c>
      <c r="AG9" s="149">
        <f>MIN(MAX(IF(S9="Yes",F9+AF9,F9),'Roster and Starting Handicaps'!M11),'Roster and Starting Handicaps'!N11)</f>
        <v>194.4</v>
      </c>
      <c r="AH9" s="149">
        <f>MIN(MAX(IF(S9="No",H9+AF9,H9),'Roster and Starting Handicaps'!O11,'Roster and Starting Handicaps'!P11))</f>
        <v>215.4</v>
      </c>
      <c r="AI9" s="170">
        <f>AB9+'Race #7'!AI9</f>
        <v>9</v>
      </c>
      <c r="AJ9" s="91" t="str">
        <f t="shared" si="0"/>
        <v>Grin</v>
      </c>
      <c r="AK9" s="51"/>
    </row>
    <row r="10" spans="2:40" ht="30" customHeight="1" x14ac:dyDescent="0.2">
      <c r="B10" s="158" t="str">
        <f>'2026 Suttons Finish Summary'!I11</f>
        <v>KristinB II</v>
      </c>
      <c r="C10" s="385" t="str">
        <f>'2026 Suttons Finish Summary'!J11</f>
        <v>Catalina 36 TM</v>
      </c>
      <c r="D10" s="385" t="str">
        <f>'2026 Suttons Finish Summary'!K11</f>
        <v>Mike Cann</v>
      </c>
      <c r="E10" s="143">
        <f>'Roster and Starting Handicaps'!H12</f>
        <v>159</v>
      </c>
      <c r="F10" s="143">
        <f>'Race #7'!AG10</f>
        <v>162</v>
      </c>
      <c r="G10" s="34">
        <f t="shared" si="11"/>
        <v>1.1657303370786516</v>
      </c>
      <c r="H10" s="143">
        <f>'Race #7'!AH10</f>
        <v>190.79999999999998</v>
      </c>
      <c r="I10" s="43">
        <f t="shared" si="12"/>
        <v>1.1204103671706265</v>
      </c>
      <c r="J10" s="450" t="str">
        <f t="shared" si="13"/>
        <v>No</v>
      </c>
      <c r="K10" s="44">
        <f t="shared" si="1"/>
        <v>0</v>
      </c>
      <c r="L10" s="139"/>
      <c r="M10" s="139"/>
      <c r="N10" s="32">
        <f t="shared" si="2"/>
        <v>0</v>
      </c>
      <c r="O10" s="129" t="str">
        <f t="shared" si="3"/>
        <v/>
      </c>
      <c r="P10" s="144">
        <f t="shared" si="35"/>
        <v>0</v>
      </c>
      <c r="Q10" s="145">
        <f t="shared" si="36"/>
        <v>0</v>
      </c>
      <c r="R10" s="146">
        <f t="shared" si="4"/>
        <v>0</v>
      </c>
      <c r="S10" s="38" t="s">
        <v>166</v>
      </c>
      <c r="T10" s="95" t="str">
        <f t="shared" si="14"/>
        <v/>
      </c>
      <c r="U10" s="147">
        <f t="shared" si="15"/>
        <v>0</v>
      </c>
      <c r="V10" s="147">
        <f t="shared" si="16"/>
        <v>0</v>
      </c>
      <c r="W10" s="145">
        <f t="shared" si="17"/>
        <v>0</v>
      </c>
      <c r="X10" s="32">
        <f t="shared" si="18"/>
        <v>0</v>
      </c>
      <c r="Y10" s="45" t="str">
        <f t="shared" si="5"/>
        <v/>
      </c>
      <c r="Z10" s="45" t="str">
        <f t="shared" si="6"/>
        <v/>
      </c>
      <c r="AA10" s="160" t="str">
        <f t="shared" si="7"/>
        <v/>
      </c>
      <c r="AB10" s="169">
        <f t="shared" si="19"/>
        <v>0</v>
      </c>
      <c r="AC10" s="32">
        <f t="shared" si="8"/>
        <v>0</v>
      </c>
      <c r="AD10" s="32">
        <f t="shared" si="9"/>
        <v>0</v>
      </c>
      <c r="AE10" s="32">
        <f t="shared" si="37"/>
        <v>0</v>
      </c>
      <c r="AF10" s="33">
        <f t="shared" si="10"/>
        <v>0</v>
      </c>
      <c r="AG10" s="148">
        <f>MIN(MAX(IF(S10="Yes",F10+AF10,F10),'Roster and Starting Handicaps'!M12),'Roster and Starting Handicaps'!N12)</f>
        <v>162</v>
      </c>
      <c r="AH10" s="148">
        <f>MIN(MAX(IF(S10="No",H10+AF10,H10),'Roster and Starting Handicaps'!O12,'Roster and Starting Handicaps'!P12))</f>
        <v>190.79999999999998</v>
      </c>
      <c r="AI10" s="170">
        <f>AB10+'Race #7'!AI10</f>
        <v>13</v>
      </c>
      <c r="AJ10" s="125" t="str">
        <f t="shared" si="0"/>
        <v>KristinB II</v>
      </c>
      <c r="AK10" s="51"/>
    </row>
    <row r="11" spans="2:40" ht="30" customHeight="1" x14ac:dyDescent="0.2">
      <c r="B11" s="157" t="str">
        <f>'2026 Suttons Finish Summary'!I12</f>
        <v>Lone Gull</v>
      </c>
      <c r="C11" s="384" t="str">
        <f>'2026 Suttons Finish Summary'!J12</f>
        <v>Cal 20</v>
      </c>
      <c r="D11" s="384" t="str">
        <f>'2026 Suttons Finish Summary'!K12</f>
        <v>Kevin Savage</v>
      </c>
      <c r="E11" s="27">
        <f>'Roster and Starting Handicaps'!H13</f>
        <v>288</v>
      </c>
      <c r="F11" s="27">
        <f>'Race #7'!AG11</f>
        <v>280</v>
      </c>
      <c r="G11" s="31">
        <f t="shared" ref="G11" si="38">$E$32/($E$25+F11)</f>
        <v>1</v>
      </c>
      <c r="H11" s="27">
        <f>'Race #7'!AH11</f>
        <v>345.59999999999997</v>
      </c>
      <c r="I11" s="35">
        <f t="shared" ref="I11" si="39">$E$32/($E$25+H11)</f>
        <v>0.92675301473872274</v>
      </c>
      <c r="J11" s="447" t="str">
        <f t="shared" si="13"/>
        <v>No</v>
      </c>
      <c r="K11" s="36">
        <f t="shared" si="1"/>
        <v>0</v>
      </c>
      <c r="L11" s="139"/>
      <c r="M11" s="139"/>
      <c r="N11" s="26">
        <f t="shared" si="2"/>
        <v>1</v>
      </c>
      <c r="O11" s="129" t="str">
        <f t="shared" si="3"/>
        <v/>
      </c>
      <c r="P11" s="140">
        <f t="shared" ref="P11" si="40">M11-L11</f>
        <v>0</v>
      </c>
      <c r="Q11" s="141">
        <f t="shared" ref="Q11" si="41">HOUR(P11)*3600+MINUTE(P11)*60+SECOND(P11)</f>
        <v>0</v>
      </c>
      <c r="R11" s="142">
        <f t="shared" ref="R11" si="42">IF(M11&gt;0,($H11*$E$21),0)</f>
        <v>0</v>
      </c>
      <c r="S11" s="38"/>
      <c r="T11" s="94">
        <f t="shared" ref="T11" si="43">IF(N11=1,IF(S11="No",H11,F11),"")</f>
        <v>280</v>
      </c>
      <c r="U11" s="122">
        <f t="shared" ref="U11" si="44">IF(S11="No",0,((H11-F11)*$E$21))</f>
        <v>327.67199999999985</v>
      </c>
      <c r="V11" s="122">
        <f t="shared" ref="V11" si="45">IF(S11="No",0,(-(I11-G11)*Q11))</f>
        <v>0</v>
      </c>
      <c r="W11" s="141">
        <f t="shared" ref="W11" si="46">Q11-R11+U11</f>
        <v>327.67199999999985</v>
      </c>
      <c r="X11" s="26">
        <f t="shared" ref="X11" si="47">IF(S11="Yes",Q11*G11,Q11*I11)</f>
        <v>0</v>
      </c>
      <c r="Y11" s="40">
        <f t="shared" si="5"/>
        <v>1</v>
      </c>
      <c r="Z11" s="40" t="str">
        <f t="shared" si="6"/>
        <v/>
      </c>
      <c r="AA11" s="160" t="str">
        <f t="shared" ref="AA11" si="48">IF($E$22="Yes",Y11,Z11)</f>
        <v/>
      </c>
      <c r="AB11" s="169">
        <f t="shared" ref="AB11" si="49">IF($E$22="Yes",IF(Y11=1,5,IF(Y11=2,4,IF(Y11=3,3,IF(Y11=4,2,IF(Y11=5,1,0))))),IF(Z11=1,5,IF(Z11=2,4,IF(Z11=3,3,IF(Z11=4,2,IF(Z11=5,1,0))))))+K11</f>
        <v>0</v>
      </c>
      <c r="AC11" s="26">
        <f t="shared" ref="AC11" si="50">X11/$E$21</f>
        <v>0</v>
      </c>
      <c r="AD11" s="26">
        <f t="shared" ref="AD11" si="51">IF(AC11&gt;0,((X11/$E$21)-$E$30),0)</f>
        <v>0</v>
      </c>
      <c r="AE11" s="26">
        <f t="shared" ref="AE11" si="52">IF(AD11&gt;30,30,IF(AD11&lt;-30,-30,(AD11)))</f>
        <v>0</v>
      </c>
      <c r="AF11" s="47">
        <f t="shared" ref="AF11" si="53">AE11*$E$23</f>
        <v>0</v>
      </c>
      <c r="AG11" s="149">
        <f>MIN(MAX(IF(S11="Yes",F11+AF11,F11),'Roster and Starting Handicaps'!M13),'Roster and Starting Handicaps'!N13)</f>
        <v>280</v>
      </c>
      <c r="AH11" s="149">
        <f>MIN(MAX(IF(S11="No",H11+AF11,H11),'Roster and Starting Handicaps'!O13,'Roster and Starting Handicaps'!P13))</f>
        <v>345.59999999999997</v>
      </c>
      <c r="AI11" s="170">
        <f>AB11+'Race #7'!AI11</f>
        <v>8</v>
      </c>
      <c r="AJ11" s="91" t="str">
        <f t="shared" ref="AJ11" si="54">B11</f>
        <v>Lone Gull</v>
      </c>
      <c r="AK11" s="51"/>
    </row>
    <row r="12" spans="2:40" ht="30" customHeight="1" x14ac:dyDescent="0.2">
      <c r="B12" s="158" t="str">
        <f>'2026 Suttons Finish Summary'!I13</f>
        <v>MacGuffin</v>
      </c>
      <c r="C12" s="385" t="str">
        <f>'2026 Suttons Finish Summary'!J13</f>
        <v>Shock Harbor 25</v>
      </c>
      <c r="D12" s="385" t="str">
        <f>'2026 Suttons Finish Summary'!K13</f>
        <v>Darryl Rosenbaum</v>
      </c>
      <c r="E12" s="143">
        <f>'Roster and Starting Handicaps'!H14</f>
        <v>240</v>
      </c>
      <c r="F12" s="143">
        <f>'Race #7'!AG12</f>
        <v>270</v>
      </c>
      <c r="G12" s="34">
        <f t="shared" si="11"/>
        <v>1.0121951219512195</v>
      </c>
      <c r="H12" s="143">
        <f>'Race #7'!AH12</f>
        <v>288</v>
      </c>
      <c r="I12" s="43">
        <f t="shared" si="12"/>
        <v>0.99045346062052508</v>
      </c>
      <c r="J12" s="450" t="str">
        <f t="shared" si="13"/>
        <v>No</v>
      </c>
      <c r="K12" s="44">
        <f t="shared" si="1"/>
        <v>0</v>
      </c>
      <c r="L12" s="139"/>
      <c r="M12" s="139"/>
      <c r="N12" s="32">
        <f t="shared" si="2"/>
        <v>0</v>
      </c>
      <c r="O12" s="129" t="str">
        <f t="shared" si="3"/>
        <v/>
      </c>
      <c r="P12" s="144">
        <f t="shared" si="35"/>
        <v>0</v>
      </c>
      <c r="Q12" s="145">
        <f t="shared" si="36"/>
        <v>0</v>
      </c>
      <c r="R12" s="146">
        <f t="shared" si="4"/>
        <v>0</v>
      </c>
      <c r="S12" s="38" t="s">
        <v>166</v>
      </c>
      <c r="T12" s="95" t="str">
        <f t="shared" si="14"/>
        <v/>
      </c>
      <c r="U12" s="147">
        <f t="shared" si="15"/>
        <v>0</v>
      </c>
      <c r="V12" s="147">
        <f t="shared" si="16"/>
        <v>0</v>
      </c>
      <c r="W12" s="145">
        <f t="shared" si="17"/>
        <v>0</v>
      </c>
      <c r="X12" s="32">
        <f t="shared" si="18"/>
        <v>0</v>
      </c>
      <c r="Y12" s="45" t="str">
        <f t="shared" si="5"/>
        <v/>
      </c>
      <c r="Z12" s="45" t="str">
        <f t="shared" si="6"/>
        <v/>
      </c>
      <c r="AA12" s="160" t="str">
        <f t="shared" si="7"/>
        <v/>
      </c>
      <c r="AB12" s="169">
        <f t="shared" si="19"/>
        <v>0</v>
      </c>
      <c r="AC12" s="32">
        <f t="shared" si="8"/>
        <v>0</v>
      </c>
      <c r="AD12" s="32">
        <f t="shared" si="9"/>
        <v>0</v>
      </c>
      <c r="AE12" s="32">
        <f t="shared" si="37"/>
        <v>0</v>
      </c>
      <c r="AF12" s="33">
        <f t="shared" si="10"/>
        <v>0</v>
      </c>
      <c r="AG12" s="148">
        <f>MIN(MAX(IF(S12="Yes",F12+AF12,F12),'Roster and Starting Handicaps'!M14),'Roster and Starting Handicaps'!N14)</f>
        <v>270</v>
      </c>
      <c r="AH12" s="148">
        <f>MIN(MAX(IF(S12="No",H12+AF12,H12),'Roster and Starting Handicaps'!O14,'Roster and Starting Handicaps'!P14))</f>
        <v>288</v>
      </c>
      <c r="AI12" s="170">
        <f>AB12+'Race #7'!AI12</f>
        <v>9</v>
      </c>
      <c r="AJ12" s="125" t="str">
        <f t="shared" si="0"/>
        <v>MacGuffin</v>
      </c>
      <c r="AK12" s="51"/>
    </row>
    <row r="13" spans="2:40" ht="30" customHeight="1" x14ac:dyDescent="0.2">
      <c r="B13" s="157" t="str">
        <f>'2026 Suttons Finish Summary'!I14</f>
        <v>Mirabelle</v>
      </c>
      <c r="C13" s="384" t="str">
        <f>'2026 Suttons Finish Summary'!J14</f>
        <v>Cape Dory 32</v>
      </c>
      <c r="D13" s="384" t="str">
        <f>'2026 Suttons Finish Summary'!K14</f>
        <v>Campbell McLeod</v>
      </c>
      <c r="E13" s="27">
        <f>'Roster and Starting Handicaps'!H15</f>
        <v>216</v>
      </c>
      <c r="F13" s="27">
        <f>'Race #7'!AG13</f>
        <v>218.4</v>
      </c>
      <c r="G13" s="31">
        <f t="shared" si="11"/>
        <v>1.0801665799062989</v>
      </c>
      <c r="H13" s="27">
        <f>'Race #7'!AH13</f>
        <v>259.2</v>
      </c>
      <c r="I13" s="35">
        <f t="shared" si="12"/>
        <v>1.0257043994068216</v>
      </c>
      <c r="J13" s="447" t="str">
        <f t="shared" si="13"/>
        <v>No</v>
      </c>
      <c r="K13" s="36">
        <f t="shared" si="1"/>
        <v>0</v>
      </c>
      <c r="L13" s="139"/>
      <c r="M13" s="139"/>
      <c r="N13" s="26">
        <f t="shared" si="2"/>
        <v>0</v>
      </c>
      <c r="O13" s="129" t="str">
        <f t="shared" si="3"/>
        <v/>
      </c>
      <c r="P13" s="140">
        <f>M13-L13</f>
        <v>0</v>
      </c>
      <c r="Q13" s="141">
        <f>HOUR(P13)*3600+MINUTE(P13)*60+SECOND(P13)</f>
        <v>0</v>
      </c>
      <c r="R13" s="142">
        <f t="shared" si="4"/>
        <v>0</v>
      </c>
      <c r="S13" s="38" t="s">
        <v>166</v>
      </c>
      <c r="T13" s="94" t="str">
        <f t="shared" si="14"/>
        <v/>
      </c>
      <c r="U13" s="122">
        <f t="shared" si="15"/>
        <v>0</v>
      </c>
      <c r="V13" s="122">
        <f t="shared" si="16"/>
        <v>0</v>
      </c>
      <c r="W13" s="141">
        <f t="shared" si="17"/>
        <v>0</v>
      </c>
      <c r="X13" s="26">
        <f t="shared" si="18"/>
        <v>0</v>
      </c>
      <c r="Y13" s="40" t="str">
        <f t="shared" si="5"/>
        <v/>
      </c>
      <c r="Z13" s="40" t="str">
        <f t="shared" si="6"/>
        <v/>
      </c>
      <c r="AA13" s="160" t="str">
        <f t="shared" si="7"/>
        <v/>
      </c>
      <c r="AB13" s="169">
        <f t="shared" si="19"/>
        <v>0</v>
      </c>
      <c r="AC13" s="26">
        <f t="shared" si="8"/>
        <v>0</v>
      </c>
      <c r="AD13" s="26">
        <f t="shared" si="9"/>
        <v>0</v>
      </c>
      <c r="AE13" s="26">
        <f t="shared" si="37"/>
        <v>0</v>
      </c>
      <c r="AF13" s="47">
        <f t="shared" si="10"/>
        <v>0</v>
      </c>
      <c r="AG13" s="149">
        <f>MIN(MAX(IF(S13="Yes",F13+AF13,F13),'Roster and Starting Handicaps'!M15),'Roster and Starting Handicaps'!N15)</f>
        <v>218.4</v>
      </c>
      <c r="AH13" s="149">
        <f>MIN(MAX(IF(S13="No",H13+AF13,H13),'Roster and Starting Handicaps'!O15,'Roster and Starting Handicaps'!P15))</f>
        <v>259.2</v>
      </c>
      <c r="AI13" s="170">
        <f>AB13+'Race #7'!AI13</f>
        <v>1</v>
      </c>
      <c r="AJ13" s="91" t="str">
        <f t="shared" si="0"/>
        <v>Mirabelle</v>
      </c>
      <c r="AK13" s="51"/>
    </row>
    <row r="14" spans="2:40" ht="30" customHeight="1" x14ac:dyDescent="0.2">
      <c r="B14" s="158" t="str">
        <f>'2026 Suttons Finish Summary'!I15</f>
        <v>Outrageous</v>
      </c>
      <c r="C14" s="385" t="str">
        <f>'2026 Suttons Finish Summary'!J15</f>
        <v>Tanzer 22</v>
      </c>
      <c r="D14" s="385" t="str">
        <f>'2026 Suttons Finish Summary'!K15</f>
        <v>Don Webb</v>
      </c>
      <c r="E14" s="143">
        <f>'Roster and Starting Handicaps'!H16</f>
        <v>261</v>
      </c>
      <c r="F14" s="143">
        <f>'Race #7'!AG14</f>
        <v>235.6</v>
      </c>
      <c r="G14" s="34">
        <f t="shared" si="11"/>
        <v>1.0565173116089612</v>
      </c>
      <c r="H14" s="143">
        <f>'Race #7'!AH14</f>
        <v>313.2</v>
      </c>
      <c r="I14" s="43">
        <f t="shared" si="12"/>
        <v>0.96153846153846145</v>
      </c>
      <c r="J14" s="450" t="str">
        <f t="shared" si="13"/>
        <v>No</v>
      </c>
      <c r="K14" s="44">
        <f t="shared" si="1"/>
        <v>0</v>
      </c>
      <c r="L14" s="139"/>
      <c r="M14" s="139"/>
      <c r="N14" s="32">
        <f t="shared" si="2"/>
        <v>0</v>
      </c>
      <c r="O14" s="129" t="str">
        <f t="shared" si="3"/>
        <v/>
      </c>
      <c r="P14" s="144">
        <f t="shared" si="35"/>
        <v>0</v>
      </c>
      <c r="Q14" s="145">
        <f>HOUR(P14)*3600+MINUTE(P14)*60+SECOND(P14)</f>
        <v>0</v>
      </c>
      <c r="R14" s="146">
        <f t="shared" si="4"/>
        <v>0</v>
      </c>
      <c r="S14" s="38" t="s">
        <v>166</v>
      </c>
      <c r="T14" s="95" t="str">
        <f t="shared" si="14"/>
        <v/>
      </c>
      <c r="U14" s="147">
        <f t="shared" si="15"/>
        <v>0</v>
      </c>
      <c r="V14" s="147">
        <f t="shared" si="16"/>
        <v>0</v>
      </c>
      <c r="W14" s="145">
        <f t="shared" si="17"/>
        <v>0</v>
      </c>
      <c r="X14" s="32">
        <f t="shared" si="18"/>
        <v>0</v>
      </c>
      <c r="Y14" s="45" t="str">
        <f t="shared" si="5"/>
        <v/>
      </c>
      <c r="Z14" s="45" t="str">
        <f t="shared" si="6"/>
        <v/>
      </c>
      <c r="AA14" s="160" t="str">
        <f t="shared" si="7"/>
        <v/>
      </c>
      <c r="AB14" s="169">
        <f t="shared" si="19"/>
        <v>0</v>
      </c>
      <c r="AC14" s="32">
        <f t="shared" si="8"/>
        <v>0</v>
      </c>
      <c r="AD14" s="32">
        <f t="shared" si="9"/>
        <v>0</v>
      </c>
      <c r="AE14" s="32">
        <f t="shared" si="37"/>
        <v>0</v>
      </c>
      <c r="AF14" s="33">
        <f t="shared" si="10"/>
        <v>0</v>
      </c>
      <c r="AG14" s="148">
        <f>MIN(MAX(IF(S14="Yes",F14+AF14,F14),'Roster and Starting Handicaps'!M16),'Roster and Starting Handicaps'!N16)</f>
        <v>235.6</v>
      </c>
      <c r="AH14" s="148">
        <f>MIN(MAX(IF(S14="No",H14+AF14,H14),'Roster and Starting Handicaps'!O16,'Roster and Starting Handicaps'!P16))</f>
        <v>313.2</v>
      </c>
      <c r="AI14" s="170">
        <f>AB14+'Race #7'!AI14</f>
        <v>18</v>
      </c>
      <c r="AJ14" s="125" t="str">
        <f t="shared" si="0"/>
        <v>Outrageous</v>
      </c>
      <c r="AK14" s="51"/>
    </row>
    <row r="15" spans="2:40" ht="30" customHeight="1" x14ac:dyDescent="0.2">
      <c r="B15" s="157" t="str">
        <f>'2026 Suttons Finish Summary'!I16</f>
        <v>Paradox</v>
      </c>
      <c r="C15" s="384" t="str">
        <f>'2026 Suttons Finish Summary'!J16</f>
        <v>J Boats J 92</v>
      </c>
      <c r="D15" s="384" t="str">
        <f>'2026 Suttons Finish Summary'!K16</f>
        <v>Glenn VanOtteren/Ted Standiford</v>
      </c>
      <c r="E15" s="27">
        <f>'Roster and Starting Handicaps'!H17</f>
        <v>132</v>
      </c>
      <c r="F15" s="27">
        <f>'Race #7'!AG15</f>
        <v>101.7</v>
      </c>
      <c r="G15" s="31">
        <f t="shared" si="11"/>
        <v>1.2735921436243669</v>
      </c>
      <c r="H15" s="27">
        <f>'Race #7'!AH15</f>
        <v>158.4</v>
      </c>
      <c r="I15" s="35">
        <f t="shared" si="12"/>
        <v>1.1716544325239977</v>
      </c>
      <c r="J15" s="447" t="str">
        <f t="shared" si="13"/>
        <v>No</v>
      </c>
      <c r="K15" s="36">
        <f t="shared" si="1"/>
        <v>0</v>
      </c>
      <c r="L15" s="139"/>
      <c r="M15" s="139"/>
      <c r="N15" s="26">
        <f t="shared" si="2"/>
        <v>0</v>
      </c>
      <c r="O15" s="129" t="str">
        <f t="shared" si="3"/>
        <v/>
      </c>
      <c r="P15" s="140">
        <f t="shared" si="35"/>
        <v>0</v>
      </c>
      <c r="Q15" s="141">
        <f t="shared" si="36"/>
        <v>0</v>
      </c>
      <c r="R15" s="142">
        <f t="shared" si="4"/>
        <v>0</v>
      </c>
      <c r="S15" s="38" t="s">
        <v>166</v>
      </c>
      <c r="T15" s="408" t="str">
        <f t="shared" si="14"/>
        <v/>
      </c>
      <c r="U15" s="122">
        <f t="shared" si="15"/>
        <v>0</v>
      </c>
      <c r="V15" s="122">
        <f t="shared" si="16"/>
        <v>0</v>
      </c>
      <c r="W15" s="141">
        <f t="shared" si="17"/>
        <v>0</v>
      </c>
      <c r="X15" s="26">
        <f t="shared" si="18"/>
        <v>0</v>
      </c>
      <c r="Y15" s="40" t="str">
        <f t="shared" si="5"/>
        <v/>
      </c>
      <c r="Z15" s="40" t="str">
        <f t="shared" si="6"/>
        <v/>
      </c>
      <c r="AA15" s="160" t="str">
        <f t="shared" si="7"/>
        <v/>
      </c>
      <c r="AB15" s="169">
        <f t="shared" si="19"/>
        <v>0</v>
      </c>
      <c r="AC15" s="26">
        <f t="shared" si="8"/>
        <v>0</v>
      </c>
      <c r="AD15" s="26">
        <f t="shared" si="9"/>
        <v>0</v>
      </c>
      <c r="AE15" s="26">
        <f t="shared" si="37"/>
        <v>0</v>
      </c>
      <c r="AF15" s="47">
        <f t="shared" si="10"/>
        <v>0</v>
      </c>
      <c r="AG15" s="149">
        <f>MIN(MAX(IF(S15="Yes",F15+AF15,F15),'Roster and Starting Handicaps'!M17),'Roster and Starting Handicaps'!N17)</f>
        <v>101.7</v>
      </c>
      <c r="AH15" s="149">
        <f>MIN(MAX(IF(S15="No",H15+AF15,H15),'Roster and Starting Handicaps'!O17,'Roster and Starting Handicaps'!P17))</f>
        <v>158.4</v>
      </c>
      <c r="AI15" s="170">
        <f>AB15+'Race #7'!AI15</f>
        <v>1</v>
      </c>
      <c r="AJ15" s="91" t="str">
        <f t="shared" si="0"/>
        <v>Paradox</v>
      </c>
      <c r="AK15" s="51"/>
    </row>
    <row r="16" spans="2:40" ht="30" customHeight="1" x14ac:dyDescent="0.2">
      <c r="B16" s="158" t="str">
        <f>'2026 Suttons Finish Summary'!I17</f>
        <v>Pegasus</v>
      </c>
      <c r="C16" s="385" t="str">
        <f>'2026 Suttons Finish Summary'!J17</f>
        <v>Catalina 320</v>
      </c>
      <c r="D16" s="385" t="str">
        <f>'2026 Suttons Finish Summary'!K17</f>
        <v>Bill Allen</v>
      </c>
      <c r="E16" s="143">
        <f>'Roster and Starting Handicaps'!H18</f>
        <v>171</v>
      </c>
      <c r="F16" s="143">
        <f>'Race #7'!AG16</f>
        <v>157.5</v>
      </c>
      <c r="G16" s="34">
        <f t="shared" si="11"/>
        <v>1.1731448763250882</v>
      </c>
      <c r="H16" s="143">
        <f>'Race #7'!AH16</f>
        <v>205.2</v>
      </c>
      <c r="I16" s="43">
        <f t="shared" si="12"/>
        <v>1.0990466101694916</v>
      </c>
      <c r="J16" s="450" t="str">
        <f t="shared" si="13"/>
        <v>No</v>
      </c>
      <c r="K16" s="44">
        <f t="shared" si="1"/>
        <v>0</v>
      </c>
      <c r="L16" s="139"/>
      <c r="M16" s="139"/>
      <c r="N16" s="32">
        <f t="shared" si="2"/>
        <v>0</v>
      </c>
      <c r="O16" s="129" t="str">
        <f t="shared" si="3"/>
        <v/>
      </c>
      <c r="P16" s="144">
        <f t="shared" si="35"/>
        <v>0</v>
      </c>
      <c r="Q16" s="145">
        <f t="shared" si="36"/>
        <v>0</v>
      </c>
      <c r="R16" s="146">
        <f t="shared" si="4"/>
        <v>0</v>
      </c>
      <c r="S16" s="38" t="s">
        <v>166</v>
      </c>
      <c r="T16" s="95" t="str">
        <f t="shared" si="14"/>
        <v/>
      </c>
      <c r="U16" s="147">
        <f t="shared" si="15"/>
        <v>0</v>
      </c>
      <c r="V16" s="147">
        <f t="shared" si="16"/>
        <v>0</v>
      </c>
      <c r="W16" s="145">
        <f t="shared" si="17"/>
        <v>0</v>
      </c>
      <c r="X16" s="32">
        <f t="shared" si="18"/>
        <v>0</v>
      </c>
      <c r="Y16" s="45" t="str">
        <f t="shared" si="5"/>
        <v/>
      </c>
      <c r="Z16" s="45" t="str">
        <f t="shared" si="6"/>
        <v/>
      </c>
      <c r="AA16" s="160" t="str">
        <f t="shared" si="7"/>
        <v/>
      </c>
      <c r="AB16" s="169">
        <f t="shared" si="19"/>
        <v>0</v>
      </c>
      <c r="AC16" s="32">
        <f t="shared" si="8"/>
        <v>0</v>
      </c>
      <c r="AD16" s="32">
        <f t="shared" si="9"/>
        <v>0</v>
      </c>
      <c r="AE16" s="32">
        <f t="shared" si="37"/>
        <v>0</v>
      </c>
      <c r="AF16" s="33">
        <f t="shared" si="10"/>
        <v>0</v>
      </c>
      <c r="AG16" s="148">
        <f>MIN(MAX(IF(S16="Yes",F16+AF16,F16),'Roster and Starting Handicaps'!M18),'Roster and Starting Handicaps'!N18)</f>
        <v>157.5</v>
      </c>
      <c r="AH16" s="148">
        <f>MIN(MAX(IF(S16="No",H16+AF16,H16),'Roster and Starting Handicaps'!O18,'Roster and Starting Handicaps'!P18))</f>
        <v>205.2</v>
      </c>
      <c r="AI16" s="170">
        <f>AB16+'Race #7'!AI16</f>
        <v>0</v>
      </c>
      <c r="AJ16" s="125" t="str">
        <f t="shared" si="0"/>
        <v>Pegasus</v>
      </c>
      <c r="AK16" s="51"/>
    </row>
    <row r="17" spans="2:37" ht="30" customHeight="1" x14ac:dyDescent="0.2">
      <c r="B17" s="398" t="str">
        <f>'2026 Suttons Finish Summary'!I18</f>
        <v>Superfly</v>
      </c>
      <c r="C17" s="399" t="str">
        <f>'2026 Suttons Finish Summary'!J18</f>
        <v>Corsair 880</v>
      </c>
      <c r="D17" s="399" t="str">
        <f>'2026 Suttons Finish Summary'!K18</f>
        <v>Will Harper</v>
      </c>
      <c r="E17" s="400">
        <f>'Roster and Starting Handicaps'!H19</f>
        <v>57.8</v>
      </c>
      <c r="F17" s="400" t="e">
        <f>'Roster and Starting Handicaps'!#REF!</f>
        <v>#REF!</v>
      </c>
      <c r="G17" s="401" t="e">
        <f t="shared" si="11"/>
        <v>#REF!</v>
      </c>
      <c r="H17" s="400" t="e">
        <f>'Roster and Starting Handicaps'!#REF!</f>
        <v>#REF!</v>
      </c>
      <c r="I17" s="402" t="e">
        <f t="shared" si="12"/>
        <v>#REF!</v>
      </c>
      <c r="J17" s="448" t="str">
        <f t="shared" si="13"/>
        <v>No</v>
      </c>
      <c r="K17" s="403">
        <f t="shared" si="1"/>
        <v>0</v>
      </c>
      <c r="L17" s="150"/>
      <c r="M17" s="150"/>
      <c r="N17" s="404">
        <f>IF(W17&gt;0,1,0)</f>
        <v>0</v>
      </c>
      <c r="O17" s="130" t="str">
        <f t="shared" si="3"/>
        <v/>
      </c>
      <c r="P17" s="405">
        <f>M17-L17</f>
        <v>0</v>
      </c>
      <c r="Q17" s="406">
        <f>HOUR(P17)*3600+MINUTE(P17)*60+SECOND(P17)</f>
        <v>0</v>
      </c>
      <c r="R17" s="407">
        <f t="shared" si="4"/>
        <v>0</v>
      </c>
      <c r="S17" s="59" t="s">
        <v>166</v>
      </c>
      <c r="T17" s="94" t="str">
        <f t="shared" si="14"/>
        <v/>
      </c>
      <c r="U17" s="409">
        <f t="shared" si="15"/>
        <v>0</v>
      </c>
      <c r="V17" s="409">
        <f t="shared" si="16"/>
        <v>0</v>
      </c>
      <c r="W17" s="406">
        <f t="shared" si="17"/>
        <v>0</v>
      </c>
      <c r="X17" s="404" t="e">
        <f t="shared" si="18"/>
        <v>#REF!</v>
      </c>
      <c r="Y17" s="410" t="str">
        <f t="shared" si="5"/>
        <v/>
      </c>
      <c r="Z17" s="411" t="e">
        <f t="shared" si="6"/>
        <v>#REF!</v>
      </c>
      <c r="AA17" s="161" t="e">
        <f t="shared" si="7"/>
        <v>#REF!</v>
      </c>
      <c r="AB17" s="161" t="e">
        <f t="shared" si="19"/>
        <v>#REF!</v>
      </c>
      <c r="AC17" s="404" t="e">
        <f t="shared" si="8"/>
        <v>#REF!</v>
      </c>
      <c r="AD17" s="404" t="e">
        <f t="shared" si="9"/>
        <v>#REF!</v>
      </c>
      <c r="AE17" s="404" t="e">
        <f>IF(AD17&gt;30,30,IF(AD17&lt;-30,-30,(AD17)))</f>
        <v>#REF!</v>
      </c>
      <c r="AF17" s="412" t="e">
        <f t="shared" si="10"/>
        <v>#REF!</v>
      </c>
      <c r="AG17" s="413" t="e">
        <f>MIN(MAX(IF(S17="Yes",F17+AF17,F17),'Roster and Starting Handicaps'!M19),'Roster and Starting Handicaps'!N19)</f>
        <v>#REF!</v>
      </c>
      <c r="AH17" s="413" t="e">
        <f>MIN(MAX(IF(S17="No",H17+AF17,H17),'Roster and Starting Handicaps'!O19,'Roster and Starting Handicaps'!P19))</f>
        <v>#REF!</v>
      </c>
      <c r="AI17" s="171" t="e">
        <f>AB17+'Race #7'!AI17</f>
        <v>#REF!</v>
      </c>
      <c r="AJ17" s="91" t="str">
        <f t="shared" si="0"/>
        <v>Superfly</v>
      </c>
      <c r="AK17" s="51"/>
    </row>
    <row r="18" spans="2:37" ht="30" customHeight="1" thickBot="1" x14ac:dyDescent="0.25">
      <c r="B18" s="428" t="str">
        <f>'2026 Suttons Finish Summary'!I19</f>
        <v>Triton</v>
      </c>
      <c r="C18" s="429" t="str">
        <f>'2026 Suttons Finish Summary'!J19</f>
        <v>Hans Christian 43</v>
      </c>
      <c r="D18" s="429" t="str">
        <f>'2026 Suttons Finish Summary'!K19</f>
        <v>Alex Parks</v>
      </c>
      <c r="E18" s="430">
        <f>'Roster and Starting Handicaps'!H20</f>
        <v>177</v>
      </c>
      <c r="F18" s="430">
        <f>'Race #7'!AG18</f>
        <v>194.4</v>
      </c>
      <c r="G18" s="431">
        <f t="shared" si="11"/>
        <v>1.1149919398173025</v>
      </c>
      <c r="H18" s="430">
        <f>'Race #7'!AH18</f>
        <v>212.4</v>
      </c>
      <c r="I18" s="432">
        <f t="shared" si="12"/>
        <v>1.0886673662119624</v>
      </c>
      <c r="J18" s="451" t="str">
        <f t="shared" si="13"/>
        <v>No</v>
      </c>
      <c r="K18" s="433">
        <f t="shared" si="1"/>
        <v>0</v>
      </c>
      <c r="L18" s="151"/>
      <c r="M18" s="151"/>
      <c r="N18" s="434">
        <f t="shared" si="2"/>
        <v>0</v>
      </c>
      <c r="O18" s="131" t="str">
        <f t="shared" si="3"/>
        <v/>
      </c>
      <c r="P18" s="435">
        <f t="shared" si="35"/>
        <v>0</v>
      </c>
      <c r="Q18" s="436">
        <f t="shared" si="36"/>
        <v>0</v>
      </c>
      <c r="R18" s="437">
        <f t="shared" si="4"/>
        <v>0</v>
      </c>
      <c r="S18" s="39" t="s">
        <v>166</v>
      </c>
      <c r="T18" s="438" t="str">
        <f t="shared" si="14"/>
        <v/>
      </c>
      <c r="U18" s="439">
        <f t="shared" si="15"/>
        <v>0</v>
      </c>
      <c r="V18" s="439">
        <f>IF(S18="No",0,(-(I18-G18)*Q18))</f>
        <v>0</v>
      </c>
      <c r="W18" s="436">
        <f t="shared" si="17"/>
        <v>0</v>
      </c>
      <c r="X18" s="434">
        <f t="shared" si="18"/>
        <v>0</v>
      </c>
      <c r="Y18" s="440" t="str">
        <f t="shared" si="5"/>
        <v/>
      </c>
      <c r="Z18" s="440" t="str">
        <f t="shared" si="6"/>
        <v/>
      </c>
      <c r="AA18" s="163" t="str">
        <f t="shared" si="7"/>
        <v/>
      </c>
      <c r="AB18" s="172">
        <f t="shared" si="19"/>
        <v>0</v>
      </c>
      <c r="AC18" s="434">
        <f t="shared" si="8"/>
        <v>0</v>
      </c>
      <c r="AD18" s="434">
        <f t="shared" si="9"/>
        <v>0</v>
      </c>
      <c r="AE18" s="434">
        <f t="shared" si="37"/>
        <v>0</v>
      </c>
      <c r="AF18" s="441">
        <f t="shared" si="10"/>
        <v>0</v>
      </c>
      <c r="AG18" s="442">
        <f>MIN(MAX(IF(S18="Yes",F18+AF18,F18),'Roster and Starting Handicaps'!M20),'Roster and Starting Handicaps'!N20)</f>
        <v>194.4</v>
      </c>
      <c r="AH18" s="442">
        <f>MIN(MAX(IF(S18="No",H18+AF18,H18),'Roster and Starting Handicaps'!O20,'Roster and Starting Handicaps'!P20))</f>
        <v>212.4</v>
      </c>
      <c r="AI18" s="173">
        <f>AB18+'Race #7'!AI18</f>
        <v>0</v>
      </c>
      <c r="AJ18" s="445" t="str">
        <f t="shared" si="0"/>
        <v>Triton</v>
      </c>
      <c r="AK18" s="51"/>
    </row>
    <row r="19" spans="2:37" ht="30" customHeight="1" x14ac:dyDescent="0.2"/>
    <row r="20" spans="2:37" ht="16" thickBot="1" x14ac:dyDescent="0.25">
      <c r="B20" s="3"/>
      <c r="E20" s="4"/>
      <c r="F20" s="6"/>
      <c r="G20" s="4"/>
      <c r="H20" s="6"/>
      <c r="I20" s="6"/>
      <c r="J20" s="6"/>
      <c r="K20" s="6"/>
      <c r="L20" s="6"/>
      <c r="M20" s="6"/>
      <c r="N20" s="7"/>
      <c r="O20" s="7"/>
      <c r="P20" s="6"/>
      <c r="Q20" s="6"/>
      <c r="R20" s="6"/>
      <c r="S20" s="5"/>
      <c r="T20" s="58" t="s">
        <v>167</v>
      </c>
      <c r="U20" s="6"/>
      <c r="V20" s="6"/>
      <c r="W20" s="7"/>
      <c r="X20" s="7"/>
      <c r="Y20" s="11"/>
      <c r="Z20" s="11"/>
      <c r="AA20" s="7"/>
      <c r="AB20" s="7"/>
      <c r="AC20" s="7"/>
      <c r="AD20" s="7"/>
      <c r="AE20" s="8"/>
      <c r="AF20" s="9"/>
      <c r="AG20" s="6"/>
      <c r="AH20" s="6"/>
      <c r="AI20" s="4"/>
    </row>
    <row r="21" spans="2:37" ht="18" customHeight="1" x14ac:dyDescent="0.35">
      <c r="D21" s="56" t="s">
        <v>168</v>
      </c>
      <c r="E21" s="53">
        <v>4.9950000000000001</v>
      </c>
      <c r="G21" s="456" t="s">
        <v>169</v>
      </c>
      <c r="H21" s="457"/>
      <c r="I21" s="460" t="s">
        <v>121</v>
      </c>
      <c r="J21" s="457"/>
      <c r="K21" s="465" t="s">
        <v>170</v>
      </c>
      <c r="L21" s="468"/>
      <c r="M21" s="465" t="s">
        <v>171</v>
      </c>
      <c r="N21" s="466"/>
      <c r="P21" s="461" t="s">
        <v>172</v>
      </c>
      <c r="Q21" s="462"/>
      <c r="U21" s="58" t="s">
        <v>173</v>
      </c>
      <c r="W21" s="58" t="s">
        <v>174</v>
      </c>
      <c r="Z21" s="199" t="s">
        <v>175</v>
      </c>
      <c r="AA21" s="52"/>
      <c r="AD21" s="58" t="s">
        <v>204</v>
      </c>
    </row>
    <row r="22" spans="2:37" ht="18" customHeight="1" x14ac:dyDescent="0.2">
      <c r="D22" s="56" t="s">
        <v>177</v>
      </c>
      <c r="E22" s="20" t="s">
        <v>166</v>
      </c>
      <c r="G22" s="452" t="str">
        <f>IF($E$28&gt;0,"First Place","")</f>
        <v>First Place</v>
      </c>
      <c r="H22" s="453"/>
      <c r="I22" s="347" t="e">
        <f>IF($E$28&gt;0,VLOOKUP(1,$AA$4:$AJ$18,10,FALSE),"")</f>
        <v>#N/A</v>
      </c>
      <c r="J22" s="348"/>
      <c r="K22" s="463" t="str" cm="1">
        <f t="array" ref="K22">IFERROR(VLOOKUP(I22,$B$4:$X$18,23,0)-_xlfn.MINIFS($X$4:$X$18,$X$4:$X$18,"&gt;0"),"")</f>
        <v/>
      </c>
      <c r="L22" s="464"/>
      <c r="M22" s="463" t="str">
        <f>IFERROR(VLOOKUP(I22,$B$4:$W$18,22,0)-_xlfn.MINIFS($W$4:$W$18,$W$4:$W$18,"&gt;0"),"")</f>
        <v/>
      </c>
      <c r="N22" s="467"/>
      <c r="P22" s="79" t="s">
        <v>109</v>
      </c>
      <c r="Q22" s="79" t="s">
        <v>178</v>
      </c>
      <c r="AA22" s="200"/>
      <c r="AD22" s="380"/>
      <c r="AE22" s="380"/>
      <c r="AF22" s="380"/>
      <c r="AG22" s="380"/>
    </row>
    <row r="23" spans="2:37" ht="18" customHeight="1" x14ac:dyDescent="0.2">
      <c r="D23" s="56" t="s">
        <v>179</v>
      </c>
      <c r="E23" s="60">
        <v>0.1</v>
      </c>
      <c r="G23" s="452" t="str">
        <f>IF(E28&gt;1,"Second Place","")</f>
        <v/>
      </c>
      <c r="H23" s="453"/>
      <c r="I23" s="458" t="str">
        <f>IF($E$28&gt;1,VLOOKUP(2,$AA$4:$AJ$18,10,FALSE),"")</f>
        <v/>
      </c>
      <c r="J23" s="459"/>
      <c r="K23" s="463" t="str">
        <f>IFERROR(VLOOKUP(I23,$B$4:$X$18,23,0)-_xlfn.MINIFS($X$4:$X$18,$X$4:$X$18,"&gt;0"),"")</f>
        <v/>
      </c>
      <c r="L23" s="464"/>
      <c r="M23" s="463" t="str">
        <f t="shared" ref="M23:M33" si="55">IFERROR(VLOOKUP(I23,$B$4:$W$18,22,0)-_xlfn.MINIFS($W$4:$W$18,$W$4:$W$18,"&gt;0"),"")</f>
        <v/>
      </c>
      <c r="N23" s="467"/>
      <c r="P23" s="80">
        <v>2</v>
      </c>
      <c r="Q23" s="81">
        <v>1</v>
      </c>
      <c r="U23" s="380" t="s">
        <v>180</v>
      </c>
      <c r="V23" s="380"/>
      <c r="W23" s="381"/>
      <c r="X23" s="71"/>
      <c r="Y23" s="71"/>
      <c r="Z23" s="71"/>
      <c r="AA23" s="382"/>
      <c r="AD23" s="380" t="s">
        <v>231</v>
      </c>
      <c r="AE23" s="380"/>
      <c r="AF23" s="380"/>
      <c r="AG23" s="380"/>
    </row>
    <row r="24" spans="2:37" ht="18" customHeight="1" x14ac:dyDescent="0.2">
      <c r="D24" s="56" t="s">
        <v>181</v>
      </c>
      <c r="E24" s="60" t="s">
        <v>182</v>
      </c>
      <c r="G24" s="452" t="str">
        <f>IF(E28&gt;2,"Third Place","")</f>
        <v/>
      </c>
      <c r="H24" s="453"/>
      <c r="I24" s="458" t="str">
        <f>IF($E$28&gt;2,VLOOKUP(3,$AA$4:$AJ$18,10,FALSE),"")</f>
        <v/>
      </c>
      <c r="J24" s="459"/>
      <c r="K24" s="463" t="str">
        <f t="shared" ref="K24:K33" si="56">IFERROR(VLOOKUP(I24,$B$4:$X$18,23,0)-_xlfn.MINIFS($X$4:$X$18,$X$4:$X$18,"&gt;0"),"")</f>
        <v/>
      </c>
      <c r="L24" s="464"/>
      <c r="M24" s="463" t="str">
        <f t="shared" si="55"/>
        <v/>
      </c>
      <c r="N24" s="467"/>
      <c r="P24" s="82">
        <v>3</v>
      </c>
      <c r="Q24" s="72">
        <v>2</v>
      </c>
      <c r="U24" s="380"/>
      <c r="V24" s="380"/>
      <c r="W24" s="381"/>
      <c r="X24" s="71"/>
      <c r="Y24" s="71"/>
      <c r="Z24" s="71"/>
      <c r="AA24" s="382"/>
      <c r="AD24" s="380"/>
      <c r="AE24" s="380"/>
      <c r="AF24" s="380"/>
      <c r="AG24" s="380"/>
    </row>
    <row r="25" spans="2:37" ht="18" customHeight="1" x14ac:dyDescent="0.2">
      <c r="D25" s="56" t="s">
        <v>183</v>
      </c>
      <c r="E25" s="84">
        <f>VLOOKUP(E24,I37:K39,3,0)</f>
        <v>550</v>
      </c>
      <c r="G25" s="452" t="str">
        <f>IF(E28&gt;3,"Fourth Place","")</f>
        <v/>
      </c>
      <c r="H25" s="453"/>
      <c r="I25" s="458" t="str">
        <f>IF($E$28&gt;3,VLOOKUP(4,$AA$4:$AJ$18,10,FALSE),"")</f>
        <v/>
      </c>
      <c r="J25" s="459"/>
      <c r="K25" s="463" t="str">
        <f t="shared" si="56"/>
        <v/>
      </c>
      <c r="L25" s="464"/>
      <c r="M25" s="463" t="str">
        <f t="shared" si="55"/>
        <v/>
      </c>
      <c r="N25" s="467"/>
      <c r="P25" s="82">
        <v>4</v>
      </c>
      <c r="Q25" s="72">
        <v>2</v>
      </c>
      <c r="U25" s="380"/>
      <c r="V25" s="380"/>
      <c r="W25" s="381"/>
      <c r="X25" s="71"/>
      <c r="Y25" s="71"/>
      <c r="Z25" s="71"/>
      <c r="AA25" s="382"/>
      <c r="AD25" s="380"/>
      <c r="AE25" s="380"/>
      <c r="AF25" s="380"/>
      <c r="AG25" s="380"/>
    </row>
    <row r="26" spans="2:37" ht="18" customHeight="1" x14ac:dyDescent="0.2">
      <c r="D26" s="61"/>
      <c r="E26" s="62"/>
      <c r="G26" s="452" t="str">
        <f>IF(E28&gt;4,"Fifth Place","")</f>
        <v/>
      </c>
      <c r="H26" s="453"/>
      <c r="I26" s="458" t="str">
        <f>IF($E$28&gt;4,VLOOKUP(5,$AA$4:$AJ$18,10,FALSE),"")</f>
        <v/>
      </c>
      <c r="J26" s="459"/>
      <c r="K26" s="463" t="str">
        <f t="shared" si="56"/>
        <v/>
      </c>
      <c r="L26" s="464"/>
      <c r="M26" s="463" t="str">
        <f t="shared" si="55"/>
        <v/>
      </c>
      <c r="N26" s="467"/>
      <c r="P26" s="82">
        <v>5</v>
      </c>
      <c r="Q26" s="72">
        <v>2</v>
      </c>
      <c r="S26" s="375">
        <f>COUNTIF(Q4:Q18,3600)</f>
        <v>0</v>
      </c>
      <c r="U26" s="380"/>
      <c r="V26" s="380"/>
      <c r="W26" s="381"/>
      <c r="X26" s="71"/>
      <c r="Y26" s="71"/>
      <c r="Z26" s="71"/>
      <c r="AA26" s="382"/>
      <c r="AD26" s="380"/>
      <c r="AE26" s="380"/>
      <c r="AF26" s="380"/>
      <c r="AG26" s="380"/>
    </row>
    <row r="27" spans="2:37" ht="18" customHeight="1" x14ac:dyDescent="0.2">
      <c r="D27" s="56" t="s">
        <v>184</v>
      </c>
      <c r="E27" s="19">
        <f>SUM(K4:K18)</f>
        <v>0</v>
      </c>
      <c r="G27" s="452" t="str">
        <f>IF($E$28&gt;5,"Sixth Place","")</f>
        <v/>
      </c>
      <c r="H27" s="453"/>
      <c r="I27" s="458" t="str">
        <f>IF($E$28&gt;5,VLOOKUP(6,$AA$4:$AJ$18,10,FALSE),"")</f>
        <v/>
      </c>
      <c r="J27" s="459"/>
      <c r="K27" s="463" t="str">
        <f t="shared" si="56"/>
        <v/>
      </c>
      <c r="L27" s="464"/>
      <c r="M27" s="463" t="str">
        <f t="shared" si="55"/>
        <v/>
      </c>
      <c r="N27" s="467"/>
      <c r="P27" s="82">
        <v>6</v>
      </c>
      <c r="Q27" s="72">
        <v>3</v>
      </c>
      <c r="U27" s="380"/>
      <c r="V27" s="380"/>
      <c r="W27" s="381"/>
      <c r="X27" s="71"/>
      <c r="Y27" s="71"/>
      <c r="Z27" s="71"/>
      <c r="AA27" s="382"/>
      <c r="AD27" s="380"/>
      <c r="AE27" s="380"/>
      <c r="AF27" s="380"/>
      <c r="AG27" s="380"/>
    </row>
    <row r="28" spans="2:37" ht="18" customHeight="1" x14ac:dyDescent="0.2">
      <c r="D28" s="56" t="s">
        <v>185</v>
      </c>
      <c r="E28" s="19">
        <f>SUM(N4:N18)</f>
        <v>1</v>
      </c>
      <c r="G28" s="452" t="str">
        <f>IF($E$28&gt;6,"Seventh Place","")</f>
        <v/>
      </c>
      <c r="H28" s="453"/>
      <c r="I28" s="458" t="str">
        <f>IF($E$28&gt;6,VLOOKUP(7,$AA$4:$AJ$18,10,FALSE),"")</f>
        <v/>
      </c>
      <c r="J28" s="459"/>
      <c r="K28" s="463" t="str">
        <f t="shared" si="56"/>
        <v/>
      </c>
      <c r="L28" s="464"/>
      <c r="M28" s="463" t="str">
        <f t="shared" si="55"/>
        <v/>
      </c>
      <c r="N28" s="467"/>
      <c r="P28" s="82">
        <v>7</v>
      </c>
      <c r="Q28" s="72">
        <v>3</v>
      </c>
      <c r="U28" s="380"/>
      <c r="V28" s="380"/>
      <c r="W28" s="381"/>
      <c r="X28" s="71"/>
      <c r="Y28" s="71"/>
      <c r="Z28" s="71"/>
      <c r="AA28" s="382"/>
      <c r="AD28" s="380"/>
      <c r="AE28" s="380"/>
      <c r="AF28" s="380"/>
      <c r="AG28" s="380"/>
    </row>
    <row r="29" spans="2:37" ht="18" customHeight="1" x14ac:dyDescent="0.2">
      <c r="D29" s="56" t="s">
        <v>186</v>
      </c>
      <c r="E29" s="21" t="e">
        <f>VLOOKUP(E28,P23:Q33,2,FALSE)</f>
        <v>#N/A</v>
      </c>
      <c r="G29" s="452" t="str">
        <f>IF(E28&gt;7,"EighthPlace","")</f>
        <v/>
      </c>
      <c r="H29" s="453"/>
      <c r="I29" s="458" t="str">
        <f>IF($E$28&gt;7,VLOOKUP(8,$AA$4:$AJ$18,10,FALSE),"")</f>
        <v/>
      </c>
      <c r="J29" s="459"/>
      <c r="K29" s="463" t="str">
        <f t="shared" si="56"/>
        <v/>
      </c>
      <c r="L29" s="464"/>
      <c r="M29" s="463" t="str">
        <f t="shared" si="55"/>
        <v/>
      </c>
      <c r="N29" s="467"/>
      <c r="P29" s="82">
        <v>8</v>
      </c>
      <c r="Q29" s="72">
        <v>3</v>
      </c>
      <c r="U29" s="380"/>
      <c r="V29" s="380"/>
      <c r="W29" s="381"/>
      <c r="X29" s="71"/>
      <c r="Y29" s="71"/>
      <c r="Z29" s="71"/>
      <c r="AA29" s="382"/>
    </row>
    <row r="30" spans="2:37" ht="18" customHeight="1" x14ac:dyDescent="0.2">
      <c r="D30" s="56" t="s">
        <v>187</v>
      </c>
      <c r="E30" s="377" t="e">
        <f>VLOOKUP(E29,Z4:AC18,4,FALSE)</f>
        <v>#N/A</v>
      </c>
      <c r="G30" s="452" t="str">
        <f>IF(E28&gt;8,"Ninth Place","")</f>
        <v/>
      </c>
      <c r="H30" s="453"/>
      <c r="I30" s="458" t="str">
        <f>IF($E$28&gt;8,VLOOKUP(9,$AA$4:$AJ$18,10,FALSE),"")</f>
        <v/>
      </c>
      <c r="J30" s="459"/>
      <c r="K30" s="463" t="str">
        <f t="shared" si="56"/>
        <v/>
      </c>
      <c r="L30" s="464"/>
      <c r="M30" s="463" t="str">
        <f t="shared" si="55"/>
        <v/>
      </c>
      <c r="N30" s="467"/>
      <c r="P30" s="82">
        <v>9</v>
      </c>
      <c r="Q30" s="72">
        <v>4</v>
      </c>
      <c r="U30" s="380"/>
      <c r="V30" s="380"/>
      <c r="W30" s="381"/>
      <c r="X30" s="71"/>
      <c r="Y30" s="71"/>
      <c r="Z30" s="71"/>
      <c r="AA30" s="382"/>
    </row>
    <row r="31" spans="2:37" ht="18" customHeight="1" x14ac:dyDescent="0.2">
      <c r="D31" s="56" t="s">
        <v>188</v>
      </c>
      <c r="E31" s="377">
        <f>SUM(T4:T18)/E28</f>
        <v>280</v>
      </c>
      <c r="G31" s="452" t="str">
        <f>IF(E28&gt;9,"Tenth Place","")</f>
        <v/>
      </c>
      <c r="H31" s="453"/>
      <c r="I31" s="458" t="str">
        <f>IF($E$28&gt;9,VLOOKUP(10,$AA$4:$AJ$18,10,FALSE),"")</f>
        <v/>
      </c>
      <c r="J31" s="459"/>
      <c r="K31" s="463" t="str">
        <f t="shared" si="56"/>
        <v/>
      </c>
      <c r="L31" s="464"/>
      <c r="M31" s="463" t="str">
        <f t="shared" si="55"/>
        <v/>
      </c>
      <c r="N31" s="467"/>
      <c r="P31" s="82">
        <v>10</v>
      </c>
      <c r="Q31" s="72">
        <v>4</v>
      </c>
      <c r="W31" s="348"/>
      <c r="Z31" s="25" t="s">
        <v>189</v>
      </c>
      <c r="AA31" s="200">
        <f>SUM(AA22:AA30)</f>
        <v>0</v>
      </c>
    </row>
    <row r="32" spans="2:37" ht="18" customHeight="1" x14ac:dyDescent="0.2">
      <c r="D32" s="56" t="s">
        <v>190</v>
      </c>
      <c r="E32" s="377">
        <f>E25+E31</f>
        <v>830</v>
      </c>
      <c r="G32" s="452" t="str">
        <f>IF(E28&gt;10,"Eleventh Place","")</f>
        <v/>
      </c>
      <c r="H32" s="453"/>
      <c r="I32" s="458" t="str">
        <f>IF($E$28&gt;10,VLOOKUP(11,$AA$4:$AJ$18,10,FALSE),"")</f>
        <v/>
      </c>
      <c r="J32" s="459"/>
      <c r="K32" s="463" t="str">
        <f t="shared" si="56"/>
        <v/>
      </c>
      <c r="L32" s="464"/>
      <c r="M32" s="463" t="str">
        <f t="shared" si="55"/>
        <v/>
      </c>
      <c r="N32" s="467"/>
      <c r="P32" s="82">
        <v>11</v>
      </c>
      <c r="Q32" s="72">
        <v>4</v>
      </c>
      <c r="W32" s="348"/>
    </row>
    <row r="33" spans="4:36" ht="18" customHeight="1" thickBot="1" x14ac:dyDescent="0.25">
      <c r="D33" s="56" t="s">
        <v>191</v>
      </c>
      <c r="E33" s="22">
        <f>E32/(E25+E31)</f>
        <v>1</v>
      </c>
      <c r="G33" s="454" t="str">
        <f>IF(E28&gt;11,"Twelth Place","")</f>
        <v/>
      </c>
      <c r="H33" s="455"/>
      <c r="I33" s="469" t="str">
        <f>IF($E$28&gt;11,VLOOKUP(12,$AA$4:$AJ$18,10,FALSE),"")</f>
        <v/>
      </c>
      <c r="J33" s="470"/>
      <c r="K33" s="477" t="str">
        <f t="shared" si="56"/>
        <v/>
      </c>
      <c r="L33" s="479"/>
      <c r="M33" s="477" t="str">
        <f t="shared" si="55"/>
        <v/>
      </c>
      <c r="N33" s="478"/>
      <c r="P33" s="83">
        <v>12</v>
      </c>
      <c r="Q33" s="75">
        <v>5</v>
      </c>
      <c r="W33" s="348"/>
    </row>
    <row r="34" spans="4:36" ht="18" customHeight="1" x14ac:dyDescent="0.2"/>
    <row r="35" spans="4:36" ht="18" customHeight="1" x14ac:dyDescent="0.2">
      <c r="D35" s="56" t="s">
        <v>192</v>
      </c>
      <c r="E35" s="376" cm="1">
        <f t="array" ref="E35">IFERROR(MIN(IF(Q4:Q18&gt;0,Q4:Q18)), "")</f>
        <v>0</v>
      </c>
      <c r="I35" s="474" t="s">
        <v>193</v>
      </c>
      <c r="J35" s="475"/>
      <c r="K35" s="476"/>
    </row>
    <row r="36" spans="4:36" x14ac:dyDescent="0.2">
      <c r="I36" s="63" t="s">
        <v>194</v>
      </c>
      <c r="J36" s="352" t="s">
        <v>195</v>
      </c>
      <c r="K36" s="64" t="s">
        <v>196</v>
      </c>
    </row>
    <row r="37" spans="4:36" x14ac:dyDescent="0.2">
      <c r="D37" s="57" t="s">
        <v>197</v>
      </c>
      <c r="E37" s="28" t="str">
        <f>IF(E22="Yes","Distance","Time")</f>
        <v>Time</v>
      </c>
      <c r="I37" s="70" t="s">
        <v>198</v>
      </c>
      <c r="J37" s="71" t="s">
        <v>199</v>
      </c>
      <c r="K37" s="72">
        <v>600</v>
      </c>
      <c r="T37" s="3"/>
    </row>
    <row r="38" spans="4:36" x14ac:dyDescent="0.2">
      <c r="D38" s="2" t="s">
        <v>200</v>
      </c>
      <c r="I38" s="70" t="s">
        <v>182</v>
      </c>
      <c r="J38" s="101" t="s">
        <v>201</v>
      </c>
      <c r="K38" s="72">
        <v>550</v>
      </c>
    </row>
    <row r="39" spans="4:36" x14ac:dyDescent="0.2">
      <c r="D39" s="2"/>
      <c r="I39" s="73" t="s">
        <v>202</v>
      </c>
      <c r="J39" s="74" t="s">
        <v>203</v>
      </c>
      <c r="K39" s="75">
        <v>480</v>
      </c>
    </row>
    <row r="40" spans="4:36" x14ac:dyDescent="0.2">
      <c r="D40" s="2"/>
    </row>
    <row r="42" spans="4:36" x14ac:dyDescent="0.2">
      <c r="AJ42" s="1"/>
    </row>
    <row r="43" spans="4:36" x14ac:dyDescent="0.2">
      <c r="D43" s="2"/>
    </row>
    <row r="44" spans="4:36" x14ac:dyDescent="0.2">
      <c r="D44" s="2"/>
    </row>
    <row r="45" spans="4:36" x14ac:dyDescent="0.2">
      <c r="D45" s="2"/>
    </row>
    <row r="46" spans="4:36" x14ac:dyDescent="0.2">
      <c r="D46" s="355" t="s">
        <v>221</v>
      </c>
      <c r="E46" s="355"/>
      <c r="F46" s="355"/>
      <c r="G46" s="355"/>
    </row>
  </sheetData>
  <mergeCells count="54">
    <mergeCell ref="T2:AI2"/>
    <mergeCell ref="I26:J26"/>
    <mergeCell ref="I35:K35"/>
    <mergeCell ref="M33:N33"/>
    <mergeCell ref="M28:N28"/>
    <mergeCell ref="M29:N29"/>
    <mergeCell ref="M30:N30"/>
    <mergeCell ref="M31:N31"/>
    <mergeCell ref="M32:N32"/>
    <mergeCell ref="K33:L33"/>
    <mergeCell ref="I32:J32"/>
    <mergeCell ref="K28:L28"/>
    <mergeCell ref="K29:L29"/>
    <mergeCell ref="K30:L30"/>
    <mergeCell ref="K31:L31"/>
    <mergeCell ref="K32:L32"/>
    <mergeCell ref="I33:J33"/>
    <mergeCell ref="I27:J27"/>
    <mergeCell ref="I28:J28"/>
    <mergeCell ref="I29:J29"/>
    <mergeCell ref="I30:J30"/>
    <mergeCell ref="I31:J31"/>
    <mergeCell ref="P21:Q21"/>
    <mergeCell ref="K24:L24"/>
    <mergeCell ref="K25:L25"/>
    <mergeCell ref="K26:L26"/>
    <mergeCell ref="K27:L27"/>
    <mergeCell ref="M21:N21"/>
    <mergeCell ref="M22:N22"/>
    <mergeCell ref="M23:N23"/>
    <mergeCell ref="M24:N24"/>
    <mergeCell ref="M25:N25"/>
    <mergeCell ref="M26:N26"/>
    <mergeCell ref="M27:N27"/>
    <mergeCell ref="K21:L21"/>
    <mergeCell ref="K22:L22"/>
    <mergeCell ref="K23:L23"/>
    <mergeCell ref="G21:H21"/>
    <mergeCell ref="I23:J23"/>
    <mergeCell ref="I24:J24"/>
    <mergeCell ref="I25:J25"/>
    <mergeCell ref="G22:H22"/>
    <mergeCell ref="G23:H23"/>
    <mergeCell ref="G24:H24"/>
    <mergeCell ref="G25:H25"/>
    <mergeCell ref="I21:J21"/>
    <mergeCell ref="G31:H31"/>
    <mergeCell ref="G32:H32"/>
    <mergeCell ref="G33:H33"/>
    <mergeCell ref="G26:H26"/>
    <mergeCell ref="G27:H27"/>
    <mergeCell ref="G28:H28"/>
    <mergeCell ref="G29:H29"/>
    <mergeCell ref="G30:H30"/>
  </mergeCells>
  <conditionalFormatting sqref="O4:O18">
    <cfRule type="cellIs" dxfId="9" priority="3" operator="equal">
      <formula>1</formula>
    </cfRule>
  </conditionalFormatting>
  <conditionalFormatting sqref="S4:T14 S15 S16:T18">
    <cfRule type="cellIs" dxfId="8" priority="1" operator="equal">
      <formula>"Yes"</formula>
    </cfRule>
  </conditionalFormatting>
  <dataValidations count="2">
    <dataValidation type="list" allowBlank="1" showInputMessage="1" showErrorMessage="1" sqref="J4:J18 S4:S18 E22 E26" xr:uid="{0EBF2C0A-2FA1-3547-99D3-7420C8662FAF}">
      <formula1>$AN$4:$AN$5</formula1>
    </dataValidation>
    <dataValidation type="list" allowBlank="1" showInputMessage="1" showErrorMessage="1" sqref="E24" xr:uid="{3BEA50C0-833C-44BE-AAA6-BBBA50002D88}">
      <formula1>$I$37:$I$39</formula1>
    </dataValidation>
  </dataValidations>
  <printOptions horizontalCentered="1"/>
  <pageMargins left="0.7" right="0.7" top="0.75" bottom="0.75" header="0.3" footer="0.3"/>
  <pageSetup paperSize="9" scale="54" fitToWidth="2" orientation="landscape" r:id="rId1"/>
  <ignoredErrors>
    <ignoredError sqref="H18 H7 H4 H12:H16 H9:H10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Roster and Starting Handicaps</vt:lpstr>
      <vt:lpstr>Race #1</vt:lpstr>
      <vt:lpstr>Race #2</vt:lpstr>
      <vt:lpstr>Race #3</vt:lpstr>
      <vt:lpstr>Race #4</vt:lpstr>
      <vt:lpstr>Race #5</vt:lpstr>
      <vt:lpstr>Race #6</vt:lpstr>
      <vt:lpstr>Race #7</vt:lpstr>
      <vt:lpstr>Race #8</vt:lpstr>
      <vt:lpstr>Race #9</vt:lpstr>
      <vt:lpstr>Race #10</vt:lpstr>
      <vt:lpstr>Race #11</vt:lpstr>
      <vt:lpstr>2026 Suttons Finish Summary</vt:lpstr>
      <vt:lpstr>'2026 Suttons Finish Summary'!Print_Area</vt:lpstr>
      <vt:lpstr>'Race #1'!Print_Area</vt:lpstr>
      <vt:lpstr>'Race #10'!Print_Area</vt:lpstr>
      <vt:lpstr>'Race #11'!Print_Area</vt:lpstr>
      <vt:lpstr>'Race #2'!Print_Area</vt:lpstr>
      <vt:lpstr>'Race #3'!Print_Area</vt:lpstr>
      <vt:lpstr>'Race #4'!Print_Area</vt:lpstr>
      <vt:lpstr>'Race #5'!Print_Area</vt:lpstr>
      <vt:lpstr>'Race #6'!Print_Area</vt:lpstr>
      <vt:lpstr>'Race #7'!Print_Area</vt:lpstr>
      <vt:lpstr>'Race #8'!Print_Area</vt:lpstr>
      <vt:lpstr>'Race #9'!Print_Area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Howard W. Cann</dc:creator>
  <cp:keywords/>
  <dc:description/>
  <cp:lastModifiedBy>Glenn VanOtteren</cp:lastModifiedBy>
  <cp:revision/>
  <cp:lastPrinted>2026-07-18T00:13:39Z</cp:lastPrinted>
  <dcterms:created xsi:type="dcterms:W3CDTF">2018-06-06T22:09:25Z</dcterms:created>
  <dcterms:modified xsi:type="dcterms:W3CDTF">2026-07-18T01:28:27Z</dcterms:modified>
  <cp:category/>
  <cp:contentStatus/>
</cp:coreProperties>
</file>