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comments7.xml" ContentType="application/vnd.openxmlformats-officedocument.spreadsheetml.comments+xml"/>
  <Override PartName="/xl/threadedComments/threadedComment6.xml" ContentType="application/vnd.ms-excel.threadedcomments+xml"/>
  <Override PartName="/xl/comments8.xml" ContentType="application/vnd.openxmlformats-officedocument.spreadsheetml.comments+xml"/>
  <Override PartName="/xl/threadedComments/threadedComment7.xml" ContentType="application/vnd.ms-excel.threadedcomments+xml"/>
  <Override PartName="/xl/comments9.xml" ContentType="application/vnd.openxmlformats-officedocument.spreadsheetml.comments+xml"/>
  <Override PartName="/xl/threadedComments/threadedComment8.xml" ContentType="application/vnd.ms-excel.threadedcomments+xml"/>
  <Override PartName="/xl/comments10.xml" ContentType="application/vnd.openxmlformats-officedocument.spreadsheetml.comments+xml"/>
  <Override PartName="/xl/threadedComments/threadedComment9.xml" ContentType="application/vnd.ms-excel.threadedcomments+xml"/>
  <Override PartName="/xl/comments11.xml" ContentType="application/vnd.openxmlformats-officedocument.spreadsheetml.comments+xml"/>
  <Override PartName="/xl/threadedComments/threadedComment10.xml" ContentType="application/vnd.ms-excel.threadedcomments+xml"/>
  <Override PartName="/xl/comments12.xml" ContentType="application/vnd.openxmlformats-officedocument.spreadsheetml.comments+xml"/>
  <Override PartName="/xl/threadedComments/threadedComment11.xml" ContentType="application/vnd.ms-excel.threadedcomments+xml"/>
  <Override PartName="/xl/comments13.xml" ContentType="application/vnd.openxmlformats-officedocument.spreadsheetml.comments+xml"/>
  <Override PartName="/xl/comments1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lungdocgvo/Desktop/_iCloud Backup/Sailing/Applebee Racing/2026 Applebee/"/>
    </mc:Choice>
  </mc:AlternateContent>
  <xr:revisionPtr revIDLastSave="0" documentId="13_ncr:1_{93E7940D-D64C-4A46-A43F-A76BF9C7135A}" xr6:coauthVersionLast="47" xr6:coauthVersionMax="47" xr10:uidLastSave="{00000000-0000-0000-0000-000000000000}"/>
  <bookViews>
    <workbookView xWindow="0" yWindow="680" windowWidth="34200" windowHeight="20180" tabRatio="724" activeTab="5" xr2:uid="{9F8927F8-621A-4502-A2E3-94F2D1676885}"/>
  </bookViews>
  <sheets>
    <sheet name="Handicaps-Roster" sheetId="44" r:id="rId1"/>
    <sheet name="2026 Applebee Finish Summary" sheetId="1" r:id="rId2"/>
    <sheet name="Race #1" sheetId="2" r:id="rId3"/>
    <sheet name="Race #2" sheetId="26" r:id="rId4"/>
    <sheet name="Race #3" sheetId="27" r:id="rId5"/>
    <sheet name="Race #4" sheetId="28" r:id="rId6"/>
    <sheet name="Race #5" sheetId="29" r:id="rId7"/>
    <sheet name="Race #6" sheetId="30" r:id="rId8"/>
    <sheet name="Race #7" sheetId="31" r:id="rId9"/>
    <sheet name="Race #8" sheetId="32" r:id="rId10"/>
    <sheet name="Race #9" sheetId="33" r:id="rId11"/>
    <sheet name="Race #10" sheetId="34" r:id="rId12"/>
    <sheet name="Race #11" sheetId="35" r:id="rId13"/>
    <sheet name="Pursuit Race Calcs TOD" sheetId="25" r:id="rId14"/>
    <sheet name="Pursuit Race Calcs Time on Time" sheetId="23" r:id="rId15"/>
    <sheet name="Interval Calcs - By Boat" sheetId="24" r:id="rId16"/>
    <sheet name="Distance by Leg" sheetId="42" r:id="rId17"/>
    <sheet name="Course Distances" sheetId="36" r:id="rId18"/>
  </sheets>
  <definedNames>
    <definedName name="_xlnm.Print_Area" localSheetId="1">'2026 Applebee Finish Summary'!$A$1:$BP$25</definedName>
    <definedName name="_xlnm.Print_Area" localSheetId="0">'Handicaps-Roster'!$A$1:$O$29</definedName>
    <definedName name="_xlnm.Print_Area" localSheetId="13">'Pursuit Race Calcs TOD'!$Q$3:$U$29</definedName>
    <definedName name="_xlnm.Print_Area" localSheetId="2">'Race #1'!$D$1:$AQ$40</definedName>
    <definedName name="_xlnm.Print_Area" localSheetId="11">'Race #10'!$A$1:$AQ$39</definedName>
    <definedName name="_xlnm.Print_Area" localSheetId="12">'Race #11'!$A$1:$AP$33</definedName>
    <definedName name="_xlnm.Print_Area" localSheetId="3">'Race #2'!$A$1:$AJ$31</definedName>
    <definedName name="_xlnm.Print_Area" localSheetId="4">'Race #3'!$A$1:$AQ$39</definedName>
    <definedName name="_xlnm.Print_Area" localSheetId="5">'Race #4'!$A$1:$AQ$39</definedName>
    <definedName name="_xlnm.Print_Area" localSheetId="6">'Race #5'!$A$1:$AO$31</definedName>
    <definedName name="_xlnm.Print_Area" localSheetId="7">'Race #6'!$A$1:$AO$31</definedName>
    <definedName name="_xlnm.Print_Area" localSheetId="8">'Race #7'!$A$1:$AO$31</definedName>
    <definedName name="_xlnm.Print_Area" localSheetId="9">'Race #8'!$A$1:$AP$33</definedName>
    <definedName name="_xlnm.Print_Area" localSheetId="10">'Race #9'!$A$1:$AR$39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27" l="1"/>
  <c r="AA12" i="25"/>
  <c r="H13" i="25" s="1"/>
  <c r="AA4" i="25"/>
  <c r="AA3" i="25"/>
  <c r="N13" i="25" l="1"/>
  <c r="R12" i="25"/>
  <c r="E13" i="25" s="1"/>
  <c r="AD12" i="25"/>
  <c r="I13" i="25" s="1"/>
  <c r="AD4" i="25"/>
  <c r="AD3" i="25"/>
  <c r="X12" i="25"/>
  <c r="G13" i="25" s="1"/>
  <c r="X4" i="25"/>
  <c r="X3" i="25"/>
  <c r="C18" i="25"/>
  <c r="Z30" i="26"/>
  <c r="E20" i="26" s="1"/>
  <c r="O75" i="42"/>
  <c r="O74" i="42"/>
  <c r="O77" i="42"/>
  <c r="O76" i="42"/>
  <c r="O79" i="42"/>
  <c r="D21" i="42"/>
  <c r="U12" i="25"/>
  <c r="N18" i="44"/>
  <c r="O18" i="44"/>
  <c r="L18" i="44"/>
  <c r="M18" i="44"/>
  <c r="M13" i="25"/>
  <c r="V8" i="26"/>
  <c r="V8" i="27"/>
  <c r="V8" i="28"/>
  <c r="V8" i="29"/>
  <c r="V8" i="30"/>
  <c r="V8" i="31"/>
  <c r="V8" i="32"/>
  <c r="V8" i="33"/>
  <c r="V8" i="34"/>
  <c r="V8" i="35"/>
  <c r="V17" i="26"/>
  <c r="V16" i="26"/>
  <c r="V15" i="26"/>
  <c r="V14" i="26"/>
  <c r="V13" i="26"/>
  <c r="V12" i="26"/>
  <c r="V11" i="26"/>
  <c r="V10" i="26"/>
  <c r="V9" i="26"/>
  <c r="V7" i="26"/>
  <c r="V6" i="26"/>
  <c r="V5" i="26"/>
  <c r="V17" i="27"/>
  <c r="V16" i="27"/>
  <c r="V15" i="27"/>
  <c r="V14" i="27"/>
  <c r="V13" i="27"/>
  <c r="V12" i="27"/>
  <c r="V11" i="27"/>
  <c r="V10" i="27"/>
  <c r="V9" i="27"/>
  <c r="V7" i="27"/>
  <c r="V6" i="27"/>
  <c r="V5" i="27"/>
  <c r="V17" i="28"/>
  <c r="V16" i="28"/>
  <c r="V15" i="28"/>
  <c r="V14" i="28"/>
  <c r="V13" i="28"/>
  <c r="V12" i="28"/>
  <c r="V11" i="28"/>
  <c r="V10" i="28"/>
  <c r="V9" i="28"/>
  <c r="V7" i="28"/>
  <c r="V6" i="28"/>
  <c r="V5" i="28"/>
  <c r="V17" i="29"/>
  <c r="V16" i="29"/>
  <c r="V15" i="29"/>
  <c r="V14" i="29"/>
  <c r="V13" i="29"/>
  <c r="V12" i="29"/>
  <c r="V11" i="29"/>
  <c r="V10" i="29"/>
  <c r="V9" i="29"/>
  <c r="V7" i="29"/>
  <c r="V6" i="29"/>
  <c r="V5" i="29"/>
  <c r="V17" i="30"/>
  <c r="V16" i="30"/>
  <c r="V15" i="30"/>
  <c r="V14" i="30"/>
  <c r="V13" i="30"/>
  <c r="V12" i="30"/>
  <c r="V11" i="30"/>
  <c r="V10" i="30"/>
  <c r="V9" i="30"/>
  <c r="V7" i="30"/>
  <c r="V6" i="30"/>
  <c r="V5" i="30"/>
  <c r="V17" i="31"/>
  <c r="V16" i="31"/>
  <c r="V15" i="31"/>
  <c r="V14" i="31"/>
  <c r="V13" i="31"/>
  <c r="V12" i="31"/>
  <c r="V11" i="31"/>
  <c r="V10" i="31"/>
  <c r="V9" i="31"/>
  <c r="V7" i="31"/>
  <c r="V6" i="31"/>
  <c r="V5" i="31"/>
  <c r="V17" i="32"/>
  <c r="V16" i="32"/>
  <c r="V15" i="32"/>
  <c r="V14" i="32"/>
  <c r="V13" i="32"/>
  <c r="V12" i="32"/>
  <c r="V11" i="32"/>
  <c r="V10" i="32"/>
  <c r="V9" i="32"/>
  <c r="V7" i="32"/>
  <c r="V6" i="32"/>
  <c r="V5" i="32"/>
  <c r="V17" i="33"/>
  <c r="V16" i="33"/>
  <c r="V15" i="33"/>
  <c r="V14" i="33"/>
  <c r="V13" i="33"/>
  <c r="V12" i="33"/>
  <c r="V11" i="33"/>
  <c r="V10" i="33"/>
  <c r="V9" i="33"/>
  <c r="V7" i="33"/>
  <c r="V6" i="33"/>
  <c r="V5" i="33"/>
  <c r="V17" i="34"/>
  <c r="V16" i="34"/>
  <c r="V15" i="34"/>
  <c r="V14" i="34"/>
  <c r="V13" i="34"/>
  <c r="V12" i="34"/>
  <c r="V11" i="34"/>
  <c r="V10" i="34"/>
  <c r="V9" i="34"/>
  <c r="V7" i="34"/>
  <c r="V6" i="34"/>
  <c r="V5" i="34"/>
  <c r="V17" i="35"/>
  <c r="V16" i="35"/>
  <c r="V15" i="35"/>
  <c r="V14" i="35"/>
  <c r="V13" i="35"/>
  <c r="V12" i="35"/>
  <c r="V11" i="35"/>
  <c r="V10" i="35"/>
  <c r="V9" i="35"/>
  <c r="V7" i="35"/>
  <c r="V6" i="35"/>
  <c r="V5" i="35"/>
  <c r="V17" i="2"/>
  <c r="V16" i="2"/>
  <c r="V15" i="2"/>
  <c r="V14" i="2"/>
  <c r="V12" i="2"/>
  <c r="V11" i="2"/>
  <c r="V10" i="2"/>
  <c r="V9" i="2"/>
  <c r="V7" i="2"/>
  <c r="V6" i="2"/>
  <c r="V5" i="2"/>
  <c r="V4" i="26"/>
  <c r="V4" i="27"/>
  <c r="V4" i="28"/>
  <c r="V4" i="29"/>
  <c r="V4" i="30"/>
  <c r="V4" i="31"/>
  <c r="V4" i="32"/>
  <c r="V4" i="33"/>
  <c r="V4" i="34"/>
  <c r="V4" i="35"/>
  <c r="V4" i="2"/>
  <c r="W17" i="26"/>
  <c r="W16" i="26"/>
  <c r="W15" i="26"/>
  <c r="W14" i="26"/>
  <c r="W12" i="26"/>
  <c r="W11" i="26"/>
  <c r="W10" i="26"/>
  <c r="W9" i="26"/>
  <c r="W17" i="27"/>
  <c r="W16" i="27"/>
  <c r="W15" i="27"/>
  <c r="W14" i="27"/>
  <c r="W13" i="27"/>
  <c r="W12" i="27"/>
  <c r="W11" i="27"/>
  <c r="W10" i="27"/>
  <c r="W9" i="27"/>
  <c r="W17" i="28"/>
  <c r="W16" i="28"/>
  <c r="W15" i="28"/>
  <c r="W14" i="28"/>
  <c r="W13" i="28"/>
  <c r="W12" i="28"/>
  <c r="W11" i="28"/>
  <c r="W10" i="28"/>
  <c r="W9" i="28"/>
  <c r="W17" i="29"/>
  <c r="W16" i="29"/>
  <c r="W15" i="29"/>
  <c r="W14" i="29"/>
  <c r="W13" i="29"/>
  <c r="W12" i="29"/>
  <c r="W11" i="29"/>
  <c r="W10" i="29"/>
  <c r="W9" i="29"/>
  <c r="W17" i="30"/>
  <c r="W16" i="30"/>
  <c r="W15" i="30"/>
  <c r="W14" i="30"/>
  <c r="W13" i="30"/>
  <c r="W12" i="30"/>
  <c r="W11" i="30"/>
  <c r="W10" i="30"/>
  <c r="W9" i="30"/>
  <c r="W17" i="31"/>
  <c r="W16" i="31"/>
  <c r="W15" i="31"/>
  <c r="W14" i="31"/>
  <c r="W13" i="31"/>
  <c r="W12" i="31"/>
  <c r="W11" i="31"/>
  <c r="W10" i="31"/>
  <c r="W9" i="31"/>
  <c r="W17" i="32"/>
  <c r="W16" i="32"/>
  <c r="W15" i="32"/>
  <c r="W14" i="32"/>
  <c r="W13" i="32"/>
  <c r="W12" i="32"/>
  <c r="W11" i="32"/>
  <c r="W10" i="32"/>
  <c r="W9" i="32"/>
  <c r="W17" i="33"/>
  <c r="W16" i="33"/>
  <c r="W15" i="33"/>
  <c r="W14" i="33"/>
  <c r="W13" i="33"/>
  <c r="W12" i="33"/>
  <c r="W11" i="33"/>
  <c r="W10" i="33"/>
  <c r="W9" i="33"/>
  <c r="W17" i="34"/>
  <c r="W16" i="34"/>
  <c r="W15" i="34"/>
  <c r="W14" i="34"/>
  <c r="W13" i="34"/>
  <c r="W12" i="34"/>
  <c r="W11" i="34"/>
  <c r="W10" i="34"/>
  <c r="W9" i="34"/>
  <c r="W17" i="35"/>
  <c r="W16" i="35"/>
  <c r="W15" i="35"/>
  <c r="W14" i="35"/>
  <c r="W13" i="35"/>
  <c r="W12" i="35"/>
  <c r="W11" i="35"/>
  <c r="W10" i="35"/>
  <c r="W9" i="35"/>
  <c r="W17" i="2"/>
  <c r="W16" i="2"/>
  <c r="W15" i="2"/>
  <c r="W14" i="2"/>
  <c r="W12" i="2"/>
  <c r="W11" i="2"/>
  <c r="W10" i="2"/>
  <c r="W9" i="2"/>
  <c r="W7" i="26"/>
  <c r="W6" i="26"/>
  <c r="W5" i="26"/>
  <c r="W4" i="26"/>
  <c r="W7" i="27"/>
  <c r="W6" i="27"/>
  <c r="W5" i="27"/>
  <c r="W4" i="27"/>
  <c r="W7" i="28"/>
  <c r="W6" i="28"/>
  <c r="W5" i="28"/>
  <c r="W4" i="28"/>
  <c r="W7" i="29"/>
  <c r="W6" i="29"/>
  <c r="W5" i="29"/>
  <c r="W4" i="29"/>
  <c r="W7" i="30"/>
  <c r="W6" i="30"/>
  <c r="W5" i="30"/>
  <c r="W4" i="30"/>
  <c r="W7" i="31"/>
  <c r="W6" i="31"/>
  <c r="W5" i="31"/>
  <c r="W4" i="31"/>
  <c r="W7" i="32"/>
  <c r="W6" i="32"/>
  <c r="W5" i="32"/>
  <c r="W4" i="32"/>
  <c r="W7" i="33"/>
  <c r="W6" i="33"/>
  <c r="W5" i="33"/>
  <c r="W4" i="33"/>
  <c r="W7" i="34"/>
  <c r="W6" i="34"/>
  <c r="W5" i="34"/>
  <c r="W4" i="34"/>
  <c r="W7" i="35"/>
  <c r="W6" i="35"/>
  <c r="W5" i="35"/>
  <c r="W4" i="35"/>
  <c r="W7" i="2"/>
  <c r="W6" i="2"/>
  <c r="W5" i="2"/>
  <c r="W4" i="2"/>
  <c r="W8" i="26"/>
  <c r="W8" i="27"/>
  <c r="W8" i="28"/>
  <c r="W8" i="29"/>
  <c r="W8" i="30"/>
  <c r="W8" i="31"/>
  <c r="W8" i="32"/>
  <c r="W8" i="33"/>
  <c r="W8" i="34"/>
  <c r="W8" i="35"/>
  <c r="O17" i="26"/>
  <c r="O16" i="26"/>
  <c r="O15" i="26"/>
  <c r="O14" i="26"/>
  <c r="O13" i="26"/>
  <c r="O12" i="26"/>
  <c r="O11" i="26"/>
  <c r="O10" i="26"/>
  <c r="O9" i="26"/>
  <c r="O8" i="26"/>
  <c r="O7" i="26"/>
  <c r="O6" i="26"/>
  <c r="O5" i="26"/>
  <c r="O17" i="27"/>
  <c r="O16" i="27"/>
  <c r="O15" i="27"/>
  <c r="O14" i="27"/>
  <c r="O13" i="27"/>
  <c r="O12" i="27"/>
  <c r="O11" i="27"/>
  <c r="O10" i="27"/>
  <c r="O9" i="27"/>
  <c r="O8" i="27"/>
  <c r="O7" i="27"/>
  <c r="O6" i="27"/>
  <c r="O5" i="27"/>
  <c r="O17" i="28"/>
  <c r="O16" i="28"/>
  <c r="O15" i="28"/>
  <c r="O14" i="28"/>
  <c r="O13" i="28"/>
  <c r="O12" i="28"/>
  <c r="O11" i="28"/>
  <c r="O10" i="28"/>
  <c r="O9" i="28"/>
  <c r="O8" i="28"/>
  <c r="O7" i="28"/>
  <c r="O6" i="28"/>
  <c r="O5" i="28"/>
  <c r="O17" i="29"/>
  <c r="O16" i="29"/>
  <c r="O15" i="29"/>
  <c r="O14" i="29"/>
  <c r="O13" i="29"/>
  <c r="O12" i="29"/>
  <c r="O11" i="29"/>
  <c r="O10" i="29"/>
  <c r="O9" i="29"/>
  <c r="O8" i="29"/>
  <c r="O7" i="29"/>
  <c r="O6" i="29"/>
  <c r="O5" i="29"/>
  <c r="O17" i="30"/>
  <c r="O16" i="30"/>
  <c r="O15" i="30"/>
  <c r="O14" i="30"/>
  <c r="O13" i="30"/>
  <c r="O12" i="30"/>
  <c r="O11" i="30"/>
  <c r="O10" i="30"/>
  <c r="O9" i="30"/>
  <c r="O8" i="30"/>
  <c r="O7" i="30"/>
  <c r="O6" i="30"/>
  <c r="O5" i="30"/>
  <c r="O17" i="31"/>
  <c r="O16" i="31"/>
  <c r="O15" i="31"/>
  <c r="O14" i="31"/>
  <c r="O13" i="31"/>
  <c r="O12" i="31"/>
  <c r="O11" i="31"/>
  <c r="O10" i="31"/>
  <c r="O9" i="31"/>
  <c r="O8" i="31"/>
  <c r="O7" i="31"/>
  <c r="O6" i="31"/>
  <c r="O5" i="31"/>
  <c r="O17" i="32"/>
  <c r="O16" i="32"/>
  <c r="O15" i="32"/>
  <c r="O14" i="32"/>
  <c r="O13" i="32"/>
  <c r="O12" i="32"/>
  <c r="O11" i="32"/>
  <c r="O10" i="32"/>
  <c r="O9" i="32"/>
  <c r="O8" i="32"/>
  <c r="O7" i="32"/>
  <c r="O6" i="32"/>
  <c r="O5" i="32"/>
  <c r="O17" i="33"/>
  <c r="O16" i="33"/>
  <c r="O15" i="33"/>
  <c r="O14" i="33"/>
  <c r="O13" i="33"/>
  <c r="O12" i="33"/>
  <c r="O11" i="33"/>
  <c r="O10" i="33"/>
  <c r="O9" i="33"/>
  <c r="O8" i="33"/>
  <c r="O7" i="33"/>
  <c r="O6" i="33"/>
  <c r="O5" i="33"/>
  <c r="O17" i="34"/>
  <c r="O16" i="34"/>
  <c r="O15" i="34"/>
  <c r="O14" i="34"/>
  <c r="O13" i="34"/>
  <c r="O12" i="34"/>
  <c r="O11" i="34"/>
  <c r="O10" i="34"/>
  <c r="O9" i="34"/>
  <c r="O8" i="34"/>
  <c r="O7" i="34"/>
  <c r="O6" i="34"/>
  <c r="O5" i="34"/>
  <c r="O17" i="35"/>
  <c r="O16" i="35"/>
  <c r="O15" i="35"/>
  <c r="O14" i="35"/>
  <c r="O13" i="35"/>
  <c r="O12" i="35"/>
  <c r="O11" i="35"/>
  <c r="O10" i="35"/>
  <c r="O9" i="35"/>
  <c r="O8" i="35"/>
  <c r="O7" i="35"/>
  <c r="O6" i="35"/>
  <c r="O5" i="35"/>
  <c r="O17" i="2"/>
  <c r="O16" i="2"/>
  <c r="O15" i="2"/>
  <c r="O14" i="2"/>
  <c r="O13" i="2"/>
  <c r="O12" i="2"/>
  <c r="O11" i="2"/>
  <c r="O10" i="2"/>
  <c r="O9" i="2"/>
  <c r="O8" i="2"/>
  <c r="O7" i="2"/>
  <c r="O6" i="2"/>
  <c r="O5" i="2"/>
  <c r="O4" i="26"/>
  <c r="O4" i="27"/>
  <c r="O4" i="28"/>
  <c r="O4" i="29"/>
  <c r="O4" i="30"/>
  <c r="O4" i="31"/>
  <c r="O4" i="32"/>
  <c r="O4" i="33"/>
  <c r="O4" i="34"/>
  <c r="O4" i="35"/>
  <c r="O4" i="2"/>
  <c r="K17" i="26"/>
  <c r="K16" i="26"/>
  <c r="L16" i="26" s="1"/>
  <c r="K15" i="26"/>
  <c r="K14" i="26"/>
  <c r="K13" i="26"/>
  <c r="K12" i="26"/>
  <c r="K11" i="26"/>
  <c r="K10" i="26"/>
  <c r="K9" i="26"/>
  <c r="K8" i="26"/>
  <c r="K7" i="26"/>
  <c r="K6" i="26"/>
  <c r="K5" i="26"/>
  <c r="K17" i="27"/>
  <c r="K16" i="27"/>
  <c r="L16" i="27" s="1"/>
  <c r="K15" i="27"/>
  <c r="K14" i="27"/>
  <c r="K13" i="27"/>
  <c r="K12" i="27"/>
  <c r="K11" i="27"/>
  <c r="K10" i="27"/>
  <c r="K9" i="27"/>
  <c r="K8" i="27"/>
  <c r="K7" i="27"/>
  <c r="K6" i="27"/>
  <c r="K5" i="27"/>
  <c r="K17" i="28"/>
  <c r="K16" i="28"/>
  <c r="K15" i="28"/>
  <c r="K14" i="28"/>
  <c r="K13" i="28"/>
  <c r="K12" i="28"/>
  <c r="K11" i="28"/>
  <c r="K10" i="28"/>
  <c r="K9" i="28"/>
  <c r="K8" i="28"/>
  <c r="K7" i="28"/>
  <c r="K6" i="28"/>
  <c r="K5" i="28"/>
  <c r="K17" i="29"/>
  <c r="K16" i="29"/>
  <c r="K15" i="29"/>
  <c r="K14" i="29"/>
  <c r="K13" i="29"/>
  <c r="K12" i="29"/>
  <c r="K11" i="29"/>
  <c r="K10" i="29"/>
  <c r="K9" i="29"/>
  <c r="K8" i="29"/>
  <c r="K7" i="29"/>
  <c r="K6" i="29"/>
  <c r="K5" i="29"/>
  <c r="K17" i="30"/>
  <c r="L17" i="30" s="1"/>
  <c r="K16" i="30"/>
  <c r="L16" i="30" s="1"/>
  <c r="K15" i="30"/>
  <c r="K14" i="30"/>
  <c r="K13" i="30"/>
  <c r="K12" i="30"/>
  <c r="K11" i="30"/>
  <c r="K10" i="30"/>
  <c r="K9" i="30"/>
  <c r="K8" i="30"/>
  <c r="K7" i="30"/>
  <c r="K6" i="30"/>
  <c r="K5" i="30"/>
  <c r="K17" i="31"/>
  <c r="K16" i="31"/>
  <c r="L16" i="31" s="1"/>
  <c r="K15" i="31"/>
  <c r="K14" i="31"/>
  <c r="K13" i="31"/>
  <c r="K12" i="31"/>
  <c r="K11" i="31"/>
  <c r="K10" i="31"/>
  <c r="K9" i="31"/>
  <c r="K8" i="31"/>
  <c r="K7" i="31"/>
  <c r="K6" i="31"/>
  <c r="K5" i="31"/>
  <c r="K17" i="32"/>
  <c r="L17" i="32" s="1"/>
  <c r="K16" i="32"/>
  <c r="L16" i="32" s="1"/>
  <c r="K15" i="32"/>
  <c r="K14" i="32"/>
  <c r="K13" i="32"/>
  <c r="K12" i="32"/>
  <c r="K11" i="32"/>
  <c r="K10" i="32"/>
  <c r="K9" i="32"/>
  <c r="K8" i="32"/>
  <c r="K7" i="32"/>
  <c r="K6" i="32"/>
  <c r="K5" i="32"/>
  <c r="K17" i="33"/>
  <c r="L17" i="33" s="1"/>
  <c r="K16" i="33"/>
  <c r="L16" i="33" s="1"/>
  <c r="K15" i="33"/>
  <c r="K14" i="33"/>
  <c r="K13" i="33"/>
  <c r="K12" i="33"/>
  <c r="K11" i="33"/>
  <c r="K10" i="33"/>
  <c r="K9" i="33"/>
  <c r="K8" i="33"/>
  <c r="K7" i="33"/>
  <c r="K6" i="33"/>
  <c r="K5" i="33"/>
  <c r="K17" i="34"/>
  <c r="L17" i="34" s="1"/>
  <c r="K16" i="34"/>
  <c r="L16" i="34" s="1"/>
  <c r="K15" i="34"/>
  <c r="K14" i="34"/>
  <c r="K13" i="34"/>
  <c r="K12" i="34"/>
  <c r="K11" i="34"/>
  <c r="K10" i="34"/>
  <c r="K9" i="34"/>
  <c r="K8" i="34"/>
  <c r="K7" i="34"/>
  <c r="K6" i="34"/>
  <c r="K5" i="34"/>
  <c r="K17" i="35"/>
  <c r="L17" i="35" s="1"/>
  <c r="K16" i="35"/>
  <c r="L16" i="35" s="1"/>
  <c r="K15" i="35"/>
  <c r="K14" i="35"/>
  <c r="K13" i="35"/>
  <c r="K12" i="35"/>
  <c r="K11" i="35"/>
  <c r="K10" i="35"/>
  <c r="K9" i="35"/>
  <c r="K8" i="35"/>
  <c r="K7" i="35"/>
  <c r="K6" i="35"/>
  <c r="K5" i="35"/>
  <c r="K17" i="2"/>
  <c r="K16" i="2"/>
  <c r="K15" i="2"/>
  <c r="K14" i="2"/>
  <c r="K13" i="2"/>
  <c r="K12" i="2"/>
  <c r="K11" i="2"/>
  <c r="K10" i="2"/>
  <c r="K9" i="2"/>
  <c r="K8" i="2"/>
  <c r="K7" i="2"/>
  <c r="K6" i="2"/>
  <c r="K5" i="2"/>
  <c r="K4" i="26"/>
  <c r="K4" i="27"/>
  <c r="K4" i="28"/>
  <c r="K4" i="29"/>
  <c r="K4" i="30"/>
  <c r="K4" i="31"/>
  <c r="K4" i="32"/>
  <c r="K4" i="33"/>
  <c r="K4" i="34"/>
  <c r="K4" i="35"/>
  <c r="K4" i="2"/>
  <c r="M66" i="42"/>
  <c r="C47" i="42"/>
  <c r="C46" i="42"/>
  <c r="I27" i="42"/>
  <c r="I28" i="42"/>
  <c r="I29" i="42"/>
  <c r="I30" i="42"/>
  <c r="I26" i="42"/>
  <c r="K30" i="42"/>
  <c r="K29" i="42"/>
  <c r="K28" i="42"/>
  <c r="L30" i="42"/>
  <c r="L29" i="42"/>
  <c r="M30" i="42"/>
  <c r="J29" i="42"/>
  <c r="H29" i="42"/>
  <c r="G24" i="42"/>
  <c r="H25" i="42"/>
  <c r="G25" i="42"/>
  <c r="F25" i="42"/>
  <c r="E25" i="42"/>
  <c r="D25" i="42"/>
  <c r="D22" i="42"/>
  <c r="D29" i="42"/>
  <c r="E29" i="42"/>
  <c r="F29" i="42"/>
  <c r="G29" i="42"/>
  <c r="K6" i="42"/>
  <c r="K7" i="42"/>
  <c r="K8" i="42"/>
  <c r="K9" i="42"/>
  <c r="K10" i="42"/>
  <c r="K11" i="42"/>
  <c r="K12" i="42"/>
  <c r="K13" i="42"/>
  <c r="K14" i="42"/>
  <c r="K15" i="42"/>
  <c r="J6" i="42"/>
  <c r="J7" i="42"/>
  <c r="J8" i="42"/>
  <c r="J9" i="42"/>
  <c r="J10" i="42"/>
  <c r="J11" i="42"/>
  <c r="J12" i="42"/>
  <c r="J13" i="42"/>
  <c r="J14" i="42"/>
  <c r="J15" i="42"/>
  <c r="K5" i="42"/>
  <c r="J5" i="42"/>
  <c r="M19" i="42"/>
  <c r="I19" i="42"/>
  <c r="C29" i="42"/>
  <c r="C25" i="42"/>
  <c r="Z30" i="27"/>
  <c r="E20" i="27" s="1"/>
  <c r="Z30" i="28"/>
  <c r="E20" i="28" s="1"/>
  <c r="Z30" i="29"/>
  <c r="E20" i="29" s="1"/>
  <c r="Z30" i="30"/>
  <c r="E20" i="30" s="1"/>
  <c r="Z30" i="31"/>
  <c r="E20" i="31" s="1"/>
  <c r="Z30" i="32"/>
  <c r="E20" i="32" s="1"/>
  <c r="Z30" i="33"/>
  <c r="E20" i="33" s="1"/>
  <c r="Z30" i="34"/>
  <c r="E20" i="34" s="1"/>
  <c r="Z30" i="35"/>
  <c r="E20" i="35" s="1"/>
  <c r="Z30" i="2"/>
  <c r="E20" i="2" s="1"/>
  <c r="V8" i="2" s="1"/>
  <c r="K18" i="1"/>
  <c r="K17" i="1"/>
  <c r="K16" i="1"/>
  <c r="K15" i="1"/>
  <c r="K14" i="1"/>
  <c r="K13" i="1"/>
  <c r="K12" i="1"/>
  <c r="K10" i="1"/>
  <c r="K9" i="1"/>
  <c r="K8" i="1"/>
  <c r="K7" i="1"/>
  <c r="K5" i="1"/>
  <c r="J18" i="1"/>
  <c r="J17" i="1"/>
  <c r="J16" i="1"/>
  <c r="J15" i="1"/>
  <c r="J14" i="1"/>
  <c r="J13" i="1"/>
  <c r="J12" i="1"/>
  <c r="J11" i="1"/>
  <c r="J10" i="1"/>
  <c r="J9" i="1"/>
  <c r="J8" i="1"/>
  <c r="J7" i="1"/>
  <c r="J6" i="1"/>
  <c r="J5" i="1"/>
  <c r="I5" i="1"/>
  <c r="H18" i="1"/>
  <c r="H17" i="1"/>
  <c r="H16" i="1"/>
  <c r="H15" i="1"/>
  <c r="H14" i="1"/>
  <c r="H13" i="1"/>
  <c r="H12" i="1"/>
  <c r="H11" i="1"/>
  <c r="H10" i="1"/>
  <c r="H9" i="1"/>
  <c r="H8" i="1"/>
  <c r="H7" i="1"/>
  <c r="H6" i="1"/>
  <c r="H5" i="1"/>
  <c r="I18" i="1"/>
  <c r="I17" i="1"/>
  <c r="I16" i="1"/>
  <c r="B22" i="24" s="1"/>
  <c r="I15" i="1"/>
  <c r="B20" i="24" s="1"/>
  <c r="I14" i="1"/>
  <c r="B40" i="24" s="1"/>
  <c r="I13" i="1"/>
  <c r="B18" i="24" s="1"/>
  <c r="I12" i="1"/>
  <c r="B17" i="24" s="1"/>
  <c r="I10" i="1"/>
  <c r="B15" i="24" s="1"/>
  <c r="I9" i="1"/>
  <c r="B14" i="24" s="1"/>
  <c r="I8" i="1"/>
  <c r="B13" i="24" s="1"/>
  <c r="B19" i="25"/>
  <c r="L17" i="1"/>
  <c r="G16" i="2" s="1"/>
  <c r="AH16" i="2" s="1"/>
  <c r="G16" i="26" s="1"/>
  <c r="AH16" i="26" s="1"/>
  <c r="G16" i="27" s="1"/>
  <c r="AH16" i="27" s="1"/>
  <c r="G16" i="28" s="1"/>
  <c r="AH16" i="28" s="1"/>
  <c r="G16" i="29" s="1"/>
  <c r="AH16" i="29" s="1"/>
  <c r="G16" i="30" s="1"/>
  <c r="AH16" i="30" s="1"/>
  <c r="G16" i="31" s="1"/>
  <c r="AH16" i="31" s="1"/>
  <c r="G16" i="32" s="1"/>
  <c r="AH16" i="32" s="1"/>
  <c r="G16" i="33" s="1"/>
  <c r="AH16" i="33" s="1"/>
  <c r="G16" i="34" s="1"/>
  <c r="AH16" i="34" s="1"/>
  <c r="G16" i="35" s="1"/>
  <c r="AH16" i="35" s="1"/>
  <c r="M17" i="1"/>
  <c r="I16" i="2" s="1"/>
  <c r="L18" i="1"/>
  <c r="G17" i="2" s="1"/>
  <c r="AH17" i="2" s="1"/>
  <c r="G17" i="26" s="1"/>
  <c r="AH17" i="26" s="1"/>
  <c r="G17" i="27" s="1"/>
  <c r="AH17" i="27" s="1"/>
  <c r="G17" i="28" s="1"/>
  <c r="AH17" i="28" s="1"/>
  <c r="G17" i="29" s="1"/>
  <c r="AH17" i="29" s="1"/>
  <c r="G17" i="30" s="1"/>
  <c r="AH17" i="30" s="1"/>
  <c r="G17" i="31" s="1"/>
  <c r="AH17" i="31" s="1"/>
  <c r="G17" i="32" s="1"/>
  <c r="AH17" i="32" s="1"/>
  <c r="G17" i="33" s="1"/>
  <c r="AH17" i="33" s="1"/>
  <c r="G17" i="34" s="1"/>
  <c r="AH17" i="34" s="1"/>
  <c r="G17" i="35" s="1"/>
  <c r="AH17" i="35" s="1"/>
  <c r="M18" i="1"/>
  <c r="I17" i="2" s="1"/>
  <c r="E16" i="26"/>
  <c r="F16" i="26"/>
  <c r="P16" i="26"/>
  <c r="R17" i="1" s="1"/>
  <c r="Q16" i="26"/>
  <c r="R16" i="26"/>
  <c r="S16" i="26"/>
  <c r="E17" i="26"/>
  <c r="F17" i="26"/>
  <c r="L17" i="26"/>
  <c r="P17" i="26"/>
  <c r="R18" i="1" s="1"/>
  <c r="Q17" i="26"/>
  <c r="R17" i="26" s="1"/>
  <c r="S17" i="26"/>
  <c r="E16" i="27"/>
  <c r="F16" i="27"/>
  <c r="P16" i="27"/>
  <c r="V17" i="1" s="1"/>
  <c r="Q16" i="27"/>
  <c r="R16" i="27" s="1"/>
  <c r="E17" i="27"/>
  <c r="F17" i="27"/>
  <c r="L17" i="27"/>
  <c r="P17" i="27"/>
  <c r="V18" i="1" s="1"/>
  <c r="Q17" i="27"/>
  <c r="R17" i="27" s="1"/>
  <c r="E16" i="28"/>
  <c r="F16" i="28"/>
  <c r="L16" i="28"/>
  <c r="P16" i="28"/>
  <c r="Z17" i="1" s="1"/>
  <c r="Q16" i="28"/>
  <c r="R16" i="28" s="1"/>
  <c r="E17" i="28"/>
  <c r="F17" i="28"/>
  <c r="L17" i="28"/>
  <c r="P17" i="28"/>
  <c r="Z18" i="1" s="1"/>
  <c r="Q17" i="28"/>
  <c r="R17" i="28" s="1"/>
  <c r="E16" i="29"/>
  <c r="F16" i="29"/>
  <c r="L16" i="29"/>
  <c r="P16" i="29"/>
  <c r="AD17" i="1" s="1"/>
  <c r="Q16" i="29"/>
  <c r="R16" i="29" s="1"/>
  <c r="S16" i="29"/>
  <c r="E17" i="29"/>
  <c r="F17" i="29"/>
  <c r="L17" i="29"/>
  <c r="P17" i="29"/>
  <c r="AD18" i="1" s="1"/>
  <c r="Q17" i="29"/>
  <c r="R17" i="29" s="1"/>
  <c r="S17" i="29"/>
  <c r="E16" i="30"/>
  <c r="F16" i="30"/>
  <c r="P16" i="30"/>
  <c r="AH17" i="1" s="1"/>
  <c r="Q16" i="30"/>
  <c r="R16" i="30" s="1"/>
  <c r="S16" i="30"/>
  <c r="E17" i="30"/>
  <c r="F17" i="30"/>
  <c r="P17" i="30"/>
  <c r="AH18" i="1" s="1"/>
  <c r="Q17" i="30"/>
  <c r="R17" i="30" s="1"/>
  <c r="S17" i="30"/>
  <c r="E16" i="31"/>
  <c r="F16" i="31"/>
  <c r="P16" i="31"/>
  <c r="AL17" i="1" s="1"/>
  <c r="Q16" i="31"/>
  <c r="R16" i="31" s="1"/>
  <c r="S16" i="31"/>
  <c r="E17" i="31"/>
  <c r="F17" i="31"/>
  <c r="L17" i="31"/>
  <c r="P17" i="31"/>
  <c r="AL18" i="1" s="1"/>
  <c r="Q17" i="31"/>
  <c r="R17" i="31" s="1"/>
  <c r="S17" i="31"/>
  <c r="E16" i="32"/>
  <c r="F16" i="32"/>
  <c r="P16" i="32"/>
  <c r="AP17" i="1" s="1"/>
  <c r="Q16" i="32"/>
  <c r="R16" i="32" s="1"/>
  <c r="S16" i="32"/>
  <c r="E17" i="32"/>
  <c r="F17" i="32"/>
  <c r="P17" i="32"/>
  <c r="AP18" i="1" s="1"/>
  <c r="Q17" i="32"/>
  <c r="R17" i="32" s="1"/>
  <c r="S17" i="32"/>
  <c r="E16" i="33"/>
  <c r="F16" i="33"/>
  <c r="P16" i="33"/>
  <c r="AT17" i="1" s="1"/>
  <c r="Q16" i="33"/>
  <c r="R16" i="33" s="1"/>
  <c r="S16" i="33"/>
  <c r="E17" i="33"/>
  <c r="F17" i="33"/>
  <c r="P17" i="33"/>
  <c r="AT18" i="1" s="1"/>
  <c r="Q17" i="33"/>
  <c r="R17" i="33" s="1"/>
  <c r="S17" i="33"/>
  <c r="E16" i="34"/>
  <c r="F16" i="34"/>
  <c r="P16" i="34"/>
  <c r="AX17" i="1" s="1"/>
  <c r="Q16" i="34"/>
  <c r="R16" i="34" s="1"/>
  <c r="S16" i="34"/>
  <c r="E17" i="34"/>
  <c r="F17" i="34"/>
  <c r="P17" i="34"/>
  <c r="AX18" i="1" s="1"/>
  <c r="Q17" i="34"/>
  <c r="R17" i="34" s="1"/>
  <c r="S17" i="34"/>
  <c r="E16" i="35"/>
  <c r="F16" i="35"/>
  <c r="P16" i="35"/>
  <c r="BB17" i="1" s="1"/>
  <c r="Q16" i="35"/>
  <c r="R16" i="35" s="1"/>
  <c r="S16" i="35"/>
  <c r="E17" i="35"/>
  <c r="F17" i="35"/>
  <c r="P17" i="35"/>
  <c r="BB18" i="1" s="1"/>
  <c r="Q17" i="35"/>
  <c r="R17" i="35" s="1"/>
  <c r="S17" i="35"/>
  <c r="E16" i="2"/>
  <c r="F16" i="2"/>
  <c r="P16" i="2"/>
  <c r="N17" i="1" s="1"/>
  <c r="Q16" i="2"/>
  <c r="R16" i="2" s="1"/>
  <c r="E17" i="2"/>
  <c r="F17" i="2"/>
  <c r="L17" i="2"/>
  <c r="P17" i="2"/>
  <c r="N18" i="1" s="1"/>
  <c r="Q17" i="2"/>
  <c r="R17" i="2"/>
  <c r="S17" i="2"/>
  <c r="D23" i="42"/>
  <c r="AD57" i="42" s="1"/>
  <c r="B21" i="24"/>
  <c r="E81" i="42"/>
  <c r="E70" i="42"/>
  <c r="E36" i="28"/>
  <c r="L7" i="44"/>
  <c r="C11" i="24"/>
  <c r="D17" i="28" l="1"/>
  <c r="D17" i="31"/>
  <c r="D17" i="32"/>
  <c r="D17" i="26"/>
  <c r="D17" i="35"/>
  <c r="D17" i="30"/>
  <c r="D17" i="2"/>
  <c r="D17" i="27"/>
  <c r="D17" i="29"/>
  <c r="D17" i="34"/>
  <c r="D17" i="33"/>
  <c r="D16" i="31"/>
  <c r="D16" i="33"/>
  <c r="D16" i="28"/>
  <c r="D16" i="27"/>
  <c r="D16" i="32"/>
  <c r="D16" i="29"/>
  <c r="D16" i="26"/>
  <c r="D16" i="30"/>
  <c r="D16" i="2"/>
  <c r="D16" i="35"/>
  <c r="D16" i="34"/>
  <c r="C17" i="35"/>
  <c r="C17" i="28"/>
  <c r="C17" i="33"/>
  <c r="C17" i="2"/>
  <c r="C17" i="27"/>
  <c r="C17" i="29"/>
  <c r="C17" i="32"/>
  <c r="C17" i="34"/>
  <c r="C17" i="30"/>
  <c r="C17" i="26"/>
  <c r="C17" i="31"/>
  <c r="C16" i="34"/>
  <c r="C16" i="31"/>
  <c r="C16" i="35"/>
  <c r="C16" i="30"/>
  <c r="C16" i="29"/>
  <c r="C16" i="32"/>
  <c r="C16" i="28"/>
  <c r="C16" i="33"/>
  <c r="C16" i="27"/>
  <c r="C16" i="26"/>
  <c r="C16" i="2"/>
  <c r="BF18" i="1"/>
  <c r="B17" i="31"/>
  <c r="AP17" i="31" s="1"/>
  <c r="B17" i="32"/>
  <c r="AP17" i="32" s="1"/>
  <c r="B17" i="29"/>
  <c r="AP17" i="29" s="1"/>
  <c r="B17" i="35"/>
  <c r="AP17" i="35" s="1"/>
  <c r="B17" i="28"/>
  <c r="AP17" i="28" s="1"/>
  <c r="B17" i="33"/>
  <c r="AP17" i="33" s="1"/>
  <c r="B17" i="2"/>
  <c r="AP17" i="2" s="1"/>
  <c r="B17" i="27"/>
  <c r="AP17" i="27" s="1"/>
  <c r="B17" i="34"/>
  <c r="AP17" i="34" s="1"/>
  <c r="B17" i="30"/>
  <c r="AP17" i="30" s="1"/>
  <c r="BF17" i="1"/>
  <c r="B30" i="25"/>
  <c r="B16" i="34"/>
  <c r="AP16" i="34" s="1"/>
  <c r="B16" i="33"/>
  <c r="AP16" i="33" s="1"/>
  <c r="B16" i="32"/>
  <c r="AP16" i="32" s="1"/>
  <c r="B16" i="31"/>
  <c r="AP16" i="31" s="1"/>
  <c r="B16" i="30"/>
  <c r="AP16" i="30" s="1"/>
  <c r="B16" i="35"/>
  <c r="AP16" i="35" s="1"/>
  <c r="B16" i="29"/>
  <c r="AP16" i="29" s="1"/>
  <c r="B16" i="28"/>
  <c r="AP16" i="28" s="1"/>
  <c r="B16" i="27"/>
  <c r="AP16" i="27" s="1"/>
  <c r="B16" i="2"/>
  <c r="AP16" i="2" s="1"/>
  <c r="W19" i="25"/>
  <c r="Z19" i="25"/>
  <c r="AC19" i="25"/>
  <c r="O13" i="25"/>
  <c r="F13" i="25"/>
  <c r="F17" i="1"/>
  <c r="L16" i="2"/>
  <c r="S4" i="2"/>
  <c r="S16" i="2"/>
  <c r="X16" i="2" s="1"/>
  <c r="F18" i="1"/>
  <c r="B18" i="25"/>
  <c r="Z18" i="25" s="1"/>
  <c r="B19" i="24"/>
  <c r="E17" i="1"/>
  <c r="E18" i="1"/>
  <c r="B11" i="24"/>
  <c r="B32" i="24"/>
  <c r="G17" i="1"/>
  <c r="B16" i="26" s="1"/>
  <c r="AP16" i="26" s="1"/>
  <c r="G18" i="1"/>
  <c r="B17" i="26" s="1"/>
  <c r="AP17" i="26" s="1"/>
  <c r="X17" i="33"/>
  <c r="AK17" i="33" s="1"/>
  <c r="X16" i="29"/>
  <c r="U16" i="29" s="1"/>
  <c r="X17" i="2"/>
  <c r="X17" i="26"/>
  <c r="Z17" i="26" s="1"/>
  <c r="AC17" i="26" s="1"/>
  <c r="X16" i="35"/>
  <c r="Z16" i="35" s="1"/>
  <c r="AC16" i="35" s="1"/>
  <c r="BD17" i="1" s="1"/>
  <c r="X17" i="30"/>
  <c r="AK17" i="30" s="1"/>
  <c r="X17" i="35"/>
  <c r="X17" i="31"/>
  <c r="Z17" i="31" s="1"/>
  <c r="X16" i="26"/>
  <c r="X16" i="34"/>
  <c r="Z16" i="34" s="1"/>
  <c r="AC16" i="34" s="1"/>
  <c r="AZ17" i="1" s="1"/>
  <c r="X17" i="34"/>
  <c r="Z17" i="34" s="1"/>
  <c r="AC17" i="34" s="1"/>
  <c r="AZ18" i="1" s="1"/>
  <c r="X16" i="32"/>
  <c r="Z16" i="32" s="1"/>
  <c r="X16" i="30"/>
  <c r="X17" i="32"/>
  <c r="X16" i="33"/>
  <c r="X17" i="29"/>
  <c r="X16" i="31"/>
  <c r="L6" i="27"/>
  <c r="Q30" i="25" l="1"/>
  <c r="AC30" i="25"/>
  <c r="T30" i="25"/>
  <c r="Z30" i="25"/>
  <c r="W30" i="25"/>
  <c r="W18" i="25"/>
  <c r="AC18" i="25"/>
  <c r="T18" i="25"/>
  <c r="Q18" i="25"/>
  <c r="Z17" i="33"/>
  <c r="U17" i="33"/>
  <c r="U16" i="35"/>
  <c r="AB16" i="35"/>
  <c r="BC17" i="1" s="1"/>
  <c r="T18" i="1"/>
  <c r="U17" i="31"/>
  <c r="AK16" i="29"/>
  <c r="U17" i="26"/>
  <c r="Z16" i="29"/>
  <c r="U17" i="30"/>
  <c r="U17" i="34"/>
  <c r="Z17" i="30"/>
  <c r="AC17" i="30" s="1"/>
  <c r="AJ18" i="1" s="1"/>
  <c r="Z16" i="26"/>
  <c r="AC16" i="26" s="1"/>
  <c r="AB16" i="32"/>
  <c r="AQ17" i="1" s="1"/>
  <c r="AC16" i="32"/>
  <c r="AR17" i="1" s="1"/>
  <c r="AK16" i="34"/>
  <c r="Z17" i="35"/>
  <c r="U16" i="32"/>
  <c r="U16" i="26"/>
  <c r="AK16" i="26"/>
  <c r="Z17" i="2"/>
  <c r="Z16" i="33"/>
  <c r="AB16" i="34"/>
  <c r="AY17" i="1" s="1"/>
  <c r="Z17" i="32"/>
  <c r="AC17" i="32" s="1"/>
  <c r="AR18" i="1" s="1"/>
  <c r="AB17" i="34"/>
  <c r="AY18" i="1" s="1"/>
  <c r="U17" i="35"/>
  <c r="AK17" i="35"/>
  <c r="Z16" i="31"/>
  <c r="AB17" i="26"/>
  <c r="S18" i="1" s="1"/>
  <c r="Z16" i="30"/>
  <c r="AC16" i="30" s="1"/>
  <c r="AJ17" i="1" s="1"/>
  <c r="Z17" i="29"/>
  <c r="L6" i="44"/>
  <c r="M6" i="44"/>
  <c r="L15" i="44"/>
  <c r="U4" i="25"/>
  <c r="U3" i="25"/>
  <c r="E24" i="2"/>
  <c r="G11" i="44"/>
  <c r="R4" i="25"/>
  <c r="R3" i="25"/>
  <c r="AK16" i="35" l="1"/>
  <c r="AK17" i="31"/>
  <c r="AB16" i="26"/>
  <c r="S17" i="1" s="1"/>
  <c r="AK17" i="34"/>
  <c r="T17" i="1"/>
  <c r="AK17" i="26"/>
  <c r="AB17" i="30"/>
  <c r="AI18" i="1" s="1"/>
  <c r="U16" i="34"/>
  <c r="AB17" i="35"/>
  <c r="BC18" i="1" s="1"/>
  <c r="AC17" i="35"/>
  <c r="BD18" i="1" s="1"/>
  <c r="AK16" i="32"/>
  <c r="U16" i="33"/>
  <c r="AK16" i="33"/>
  <c r="AK17" i="2"/>
  <c r="U17" i="2"/>
  <c r="U17" i="29"/>
  <c r="AK17" i="29"/>
  <c r="U16" i="31"/>
  <c r="AK16" i="31"/>
  <c r="AB17" i="32"/>
  <c r="AQ18" i="1" s="1"/>
  <c r="AK16" i="2"/>
  <c r="U16" i="2"/>
  <c r="U16" i="30"/>
  <c r="AK16" i="30"/>
  <c r="AB16" i="30"/>
  <c r="AI17" i="1" s="1"/>
  <c r="U17" i="32"/>
  <c r="AK17" i="32"/>
  <c r="B12" i="24"/>
  <c r="B33" i="24"/>
  <c r="L17" i="44"/>
  <c r="L16" i="44"/>
  <c r="L14" i="44"/>
  <c r="L13" i="44"/>
  <c r="L12" i="44"/>
  <c r="L11" i="44"/>
  <c r="L10" i="44"/>
  <c r="L9" i="44"/>
  <c r="L8" i="44"/>
  <c r="N17" i="44"/>
  <c r="N16" i="44"/>
  <c r="N15" i="44"/>
  <c r="N14" i="44"/>
  <c r="N13" i="44"/>
  <c r="N12" i="44"/>
  <c r="N11" i="44"/>
  <c r="N10" i="44"/>
  <c r="N9" i="44"/>
  <c r="N8" i="44"/>
  <c r="N7" i="44"/>
  <c r="N6" i="44"/>
  <c r="AP3" i="26"/>
  <c r="AP3" i="27"/>
  <c r="AP3" i="28"/>
  <c r="AP3" i="29"/>
  <c r="AP3" i="30"/>
  <c r="AP3" i="31"/>
  <c r="AP3" i="32"/>
  <c r="AP3" i="33"/>
  <c r="AP3" i="34"/>
  <c r="AP3" i="35"/>
  <c r="AP3" i="2"/>
  <c r="F15" i="26"/>
  <c r="F14" i="26"/>
  <c r="F13" i="26"/>
  <c r="F12" i="26"/>
  <c r="F11" i="26"/>
  <c r="F10" i="26"/>
  <c r="F9" i="26"/>
  <c r="F8" i="26"/>
  <c r="F7" i="26"/>
  <c r="F6" i="26"/>
  <c r="F5" i="26"/>
  <c r="F15" i="27"/>
  <c r="F14" i="27"/>
  <c r="F13" i="27"/>
  <c r="AK13" i="27" s="1"/>
  <c r="F12" i="27"/>
  <c r="F11" i="27"/>
  <c r="F10" i="27"/>
  <c r="F9" i="27"/>
  <c r="F8" i="27"/>
  <c r="F7" i="27"/>
  <c r="F6" i="27"/>
  <c r="F5" i="27"/>
  <c r="F15" i="28"/>
  <c r="F14" i="28"/>
  <c r="F13" i="28"/>
  <c r="F12" i="28"/>
  <c r="F11" i="28"/>
  <c r="F10" i="28"/>
  <c r="F9" i="28"/>
  <c r="F8" i="28"/>
  <c r="F7" i="28"/>
  <c r="F6" i="28"/>
  <c r="F5" i="28"/>
  <c r="F15" i="29"/>
  <c r="F14" i="29"/>
  <c r="F13" i="29"/>
  <c r="F12" i="29"/>
  <c r="F11" i="29"/>
  <c r="F10" i="29"/>
  <c r="F9" i="29"/>
  <c r="F8" i="29"/>
  <c r="F7" i="29"/>
  <c r="F6" i="29"/>
  <c r="F5" i="29"/>
  <c r="F15" i="30"/>
  <c r="F14" i="30"/>
  <c r="F13" i="30"/>
  <c r="F12" i="30"/>
  <c r="F11" i="30"/>
  <c r="F10" i="30"/>
  <c r="F9" i="30"/>
  <c r="F8" i="30"/>
  <c r="F7" i="30"/>
  <c r="F6" i="30"/>
  <c r="F5" i="30"/>
  <c r="F15" i="31"/>
  <c r="F14" i="31"/>
  <c r="F13" i="31"/>
  <c r="F12" i="31"/>
  <c r="F11" i="31"/>
  <c r="F10" i="31"/>
  <c r="F9" i="31"/>
  <c r="F8" i="31"/>
  <c r="F7" i="31"/>
  <c r="F6" i="31"/>
  <c r="F5" i="31"/>
  <c r="F15" i="32"/>
  <c r="F14" i="32"/>
  <c r="F13" i="32"/>
  <c r="F12" i="32"/>
  <c r="F11" i="32"/>
  <c r="F10" i="32"/>
  <c r="F9" i="32"/>
  <c r="F8" i="32"/>
  <c r="F7" i="32"/>
  <c r="F6" i="32"/>
  <c r="F5" i="32"/>
  <c r="F15" i="33"/>
  <c r="F14" i="33"/>
  <c r="F13" i="33"/>
  <c r="F12" i="33"/>
  <c r="F11" i="33"/>
  <c r="F10" i="33"/>
  <c r="F9" i="33"/>
  <c r="F8" i="33"/>
  <c r="F7" i="33"/>
  <c r="F6" i="33"/>
  <c r="F5" i="33"/>
  <c r="F15" i="34"/>
  <c r="F14" i="34"/>
  <c r="F13" i="34"/>
  <c r="F12" i="34"/>
  <c r="F11" i="34"/>
  <c r="F10" i="34"/>
  <c r="F9" i="34"/>
  <c r="F8" i="34"/>
  <c r="F7" i="34"/>
  <c r="F6" i="34"/>
  <c r="F5" i="34"/>
  <c r="F15" i="35"/>
  <c r="F14" i="35"/>
  <c r="F13" i="35"/>
  <c r="F12" i="35"/>
  <c r="F11" i="35"/>
  <c r="F10" i="35"/>
  <c r="F9" i="35"/>
  <c r="F8" i="35"/>
  <c r="F7" i="35"/>
  <c r="F6" i="35"/>
  <c r="F5" i="35"/>
  <c r="F15" i="2"/>
  <c r="F14" i="2"/>
  <c r="F13" i="2"/>
  <c r="F12" i="2"/>
  <c r="F11" i="2"/>
  <c r="F10" i="2"/>
  <c r="F9" i="2"/>
  <c r="F8" i="2"/>
  <c r="F7" i="2"/>
  <c r="F6" i="2"/>
  <c r="F5" i="2"/>
  <c r="F4" i="26"/>
  <c r="F4" i="27"/>
  <c r="F4" i="28"/>
  <c r="F4" i="29"/>
  <c r="F4" i="30"/>
  <c r="F4" i="31"/>
  <c r="F4" i="32"/>
  <c r="F4" i="33"/>
  <c r="F4" i="34"/>
  <c r="F4" i="35"/>
  <c r="F4" i="2"/>
  <c r="E15" i="26"/>
  <c r="E14" i="26"/>
  <c r="E13" i="26"/>
  <c r="E12" i="26"/>
  <c r="E11" i="26"/>
  <c r="E10" i="26"/>
  <c r="E9" i="26"/>
  <c r="E8" i="26"/>
  <c r="E7" i="26"/>
  <c r="E6" i="26"/>
  <c r="E5" i="26"/>
  <c r="E15" i="27"/>
  <c r="E14" i="27"/>
  <c r="E13" i="27"/>
  <c r="E12" i="27"/>
  <c r="E11" i="27"/>
  <c r="E10" i="27"/>
  <c r="E9" i="27"/>
  <c r="E8" i="27"/>
  <c r="E7" i="27"/>
  <c r="E6" i="27"/>
  <c r="E5" i="27"/>
  <c r="E15" i="28"/>
  <c r="E14" i="28"/>
  <c r="E13" i="28"/>
  <c r="E12" i="28"/>
  <c r="E11" i="28"/>
  <c r="E10" i="28"/>
  <c r="E9" i="28"/>
  <c r="E8" i="28"/>
  <c r="E7" i="28"/>
  <c r="E6" i="28"/>
  <c r="E5" i="28"/>
  <c r="E15" i="29"/>
  <c r="E14" i="29"/>
  <c r="E13" i="29"/>
  <c r="E12" i="29"/>
  <c r="E11" i="29"/>
  <c r="E10" i="29"/>
  <c r="E9" i="29"/>
  <c r="E8" i="29"/>
  <c r="E7" i="29"/>
  <c r="E6" i="29"/>
  <c r="E5" i="29"/>
  <c r="E15" i="30"/>
  <c r="E14" i="30"/>
  <c r="E13" i="30"/>
  <c r="E12" i="30"/>
  <c r="E11" i="30"/>
  <c r="E10" i="30"/>
  <c r="E9" i="30"/>
  <c r="E8" i="30"/>
  <c r="E7" i="30"/>
  <c r="E6" i="30"/>
  <c r="E5" i="30"/>
  <c r="E15" i="31"/>
  <c r="E14" i="31"/>
  <c r="E13" i="31"/>
  <c r="E12" i="31"/>
  <c r="E11" i="31"/>
  <c r="E10" i="31"/>
  <c r="E9" i="31"/>
  <c r="E8" i="31"/>
  <c r="E7" i="31"/>
  <c r="E6" i="31"/>
  <c r="E5" i="31"/>
  <c r="E15" i="32"/>
  <c r="E14" i="32"/>
  <c r="E13" i="32"/>
  <c r="E12" i="32"/>
  <c r="E11" i="32"/>
  <c r="E10" i="32"/>
  <c r="E9" i="32"/>
  <c r="E8" i="32"/>
  <c r="E7" i="32"/>
  <c r="E6" i="32"/>
  <c r="E5" i="32"/>
  <c r="E15" i="33"/>
  <c r="E14" i="33"/>
  <c r="E13" i="33"/>
  <c r="E12" i="33"/>
  <c r="E11" i="33"/>
  <c r="E10" i="33"/>
  <c r="E9" i="33"/>
  <c r="E8" i="33"/>
  <c r="E7" i="33"/>
  <c r="E6" i="33"/>
  <c r="E5" i="33"/>
  <c r="E15" i="34"/>
  <c r="E14" i="34"/>
  <c r="E13" i="34"/>
  <c r="E12" i="34"/>
  <c r="E11" i="34"/>
  <c r="E10" i="34"/>
  <c r="E9" i="34"/>
  <c r="E8" i="34"/>
  <c r="E7" i="34"/>
  <c r="E6" i="34"/>
  <c r="E5" i="34"/>
  <c r="E15" i="35"/>
  <c r="E14" i="35"/>
  <c r="E13" i="35"/>
  <c r="E12" i="35"/>
  <c r="E11" i="35"/>
  <c r="E10" i="35"/>
  <c r="E9" i="35"/>
  <c r="E8" i="35"/>
  <c r="E7" i="35"/>
  <c r="E6" i="35"/>
  <c r="E5" i="35"/>
  <c r="E15" i="2"/>
  <c r="E14" i="2"/>
  <c r="E13" i="2"/>
  <c r="E12" i="2"/>
  <c r="E11" i="2"/>
  <c r="E10" i="2"/>
  <c r="E9" i="2"/>
  <c r="E8" i="2"/>
  <c r="E7" i="2"/>
  <c r="E6" i="2"/>
  <c r="E5" i="2"/>
  <c r="E4" i="26"/>
  <c r="E4" i="27"/>
  <c r="E4" i="28"/>
  <c r="E4" i="29"/>
  <c r="E4" i="30"/>
  <c r="E4" i="31"/>
  <c r="E4" i="32"/>
  <c r="E4" i="33"/>
  <c r="E4" i="34"/>
  <c r="E4" i="35"/>
  <c r="E4" i="2"/>
  <c r="O17" i="44" l="1"/>
  <c r="M16" i="1" s="1"/>
  <c r="O16" i="44"/>
  <c r="M15" i="1" s="1"/>
  <c r="O15" i="44"/>
  <c r="O14" i="44"/>
  <c r="O13" i="44"/>
  <c r="O12" i="44"/>
  <c r="M11" i="1" s="1"/>
  <c r="O11" i="44"/>
  <c r="M10" i="1" s="1"/>
  <c r="O10" i="44"/>
  <c r="O9" i="44"/>
  <c r="O8" i="44"/>
  <c r="O7" i="44"/>
  <c r="O6" i="44"/>
  <c r="M17" i="44"/>
  <c r="L16" i="1" s="1"/>
  <c r="M16" i="44"/>
  <c r="L15" i="1" s="1"/>
  <c r="M15" i="44"/>
  <c r="L14" i="1" s="1"/>
  <c r="M14" i="44"/>
  <c r="L13" i="1" s="1"/>
  <c r="M13" i="44"/>
  <c r="M12" i="44"/>
  <c r="M11" i="44"/>
  <c r="M10" i="44"/>
  <c r="M9" i="44"/>
  <c r="L8" i="1" s="1"/>
  <c r="M8" i="44"/>
  <c r="M7" i="44"/>
  <c r="S11" i="26"/>
  <c r="S7" i="26"/>
  <c r="S5" i="26"/>
  <c r="S5" i="27"/>
  <c r="S11" i="28"/>
  <c r="S15" i="29"/>
  <c r="S11" i="29"/>
  <c r="S15" i="30"/>
  <c r="S12" i="30"/>
  <c r="S11" i="30"/>
  <c r="S6" i="30"/>
  <c r="S15" i="31"/>
  <c r="S11" i="31"/>
  <c r="S15" i="32"/>
  <c r="S6" i="32"/>
  <c r="S15" i="33"/>
  <c r="S15" i="34"/>
  <c r="S11" i="34"/>
  <c r="S5" i="34"/>
  <c r="S6" i="35"/>
  <c r="S14" i="2"/>
  <c r="S11" i="2"/>
  <c r="S10" i="2"/>
  <c r="S5" i="2"/>
  <c r="Q4" i="26"/>
  <c r="R4" i="26" s="1"/>
  <c r="Q4" i="27"/>
  <c r="R4" i="27" s="1"/>
  <c r="Q4" i="28"/>
  <c r="R4" i="28" s="1"/>
  <c r="Q4" i="29"/>
  <c r="R4" i="29" s="1"/>
  <c r="Q4" i="30"/>
  <c r="R4" i="30" s="1"/>
  <c r="Q4" i="31"/>
  <c r="R4" i="31" s="1"/>
  <c r="Q4" i="32"/>
  <c r="R4" i="32" s="1"/>
  <c r="Q4" i="33"/>
  <c r="R4" i="33" s="1"/>
  <c r="Q4" i="34"/>
  <c r="R4" i="34" s="1"/>
  <c r="Q4" i="35"/>
  <c r="R4" i="35" s="1"/>
  <c r="Q4" i="2"/>
  <c r="E24" i="26"/>
  <c r="E24" i="27"/>
  <c r="E24" i="28"/>
  <c r="E24" i="29"/>
  <c r="E24" i="30"/>
  <c r="E24" i="31"/>
  <c r="E24" i="32"/>
  <c r="E24" i="33"/>
  <c r="E24" i="34"/>
  <c r="E24" i="35"/>
  <c r="R49" i="42"/>
  <c r="R48" i="42"/>
  <c r="R47" i="42"/>
  <c r="R46" i="42"/>
  <c r="H47" i="42"/>
  <c r="H46" i="42"/>
  <c r="AB48" i="42"/>
  <c r="H56" i="42"/>
  <c r="H58" i="42"/>
  <c r="H57" i="42"/>
  <c r="H48" i="42"/>
  <c r="M50" i="42"/>
  <c r="M49" i="42"/>
  <c r="M48" i="42"/>
  <c r="M47" i="42"/>
  <c r="M46" i="42"/>
  <c r="W50" i="42"/>
  <c r="W49" i="42"/>
  <c r="W48" i="42"/>
  <c r="W47" i="42"/>
  <c r="W46" i="42"/>
  <c r="AB49" i="42"/>
  <c r="AB47" i="42"/>
  <c r="AB46" i="42"/>
  <c r="R60" i="42"/>
  <c r="R57" i="42"/>
  <c r="R59" i="42"/>
  <c r="R58" i="42"/>
  <c r="J28" i="42"/>
  <c r="J30" i="42"/>
  <c r="J27" i="42"/>
  <c r="H27" i="42"/>
  <c r="H28" i="42"/>
  <c r="E56" i="42" s="1"/>
  <c r="H30" i="42"/>
  <c r="H26" i="42"/>
  <c r="G26" i="42"/>
  <c r="G27" i="42"/>
  <c r="G28" i="42"/>
  <c r="T57" i="42" s="1"/>
  <c r="G30" i="42"/>
  <c r="F24" i="42"/>
  <c r="F26" i="42"/>
  <c r="Y57" i="42" s="1"/>
  <c r="F27" i="42"/>
  <c r="J75" i="42" s="1"/>
  <c r="F28" i="42"/>
  <c r="F30" i="42"/>
  <c r="F23" i="42"/>
  <c r="E23" i="42"/>
  <c r="Y47" i="42" s="1"/>
  <c r="E24" i="42"/>
  <c r="AD47" i="42" s="1"/>
  <c r="E26" i="42"/>
  <c r="E38" i="42" s="1"/>
  <c r="J39" i="42" s="1"/>
  <c r="E27" i="42"/>
  <c r="E28" i="42"/>
  <c r="E30" i="42"/>
  <c r="E22" i="42"/>
  <c r="D24" i="42"/>
  <c r="O66" i="42" s="1"/>
  <c r="J76" i="42"/>
  <c r="D26" i="42"/>
  <c r="D27" i="42"/>
  <c r="D28" i="42"/>
  <c r="D30" i="42"/>
  <c r="J47" i="42"/>
  <c r="C21" i="42"/>
  <c r="E19" i="42" s="1"/>
  <c r="C22" i="42"/>
  <c r="C23" i="42"/>
  <c r="G19" i="42" s="1"/>
  <c r="C24" i="42"/>
  <c r="C26" i="42"/>
  <c r="J19" i="42" s="1"/>
  <c r="C27" i="42"/>
  <c r="K19" i="42" s="1"/>
  <c r="C28" i="42"/>
  <c r="C30" i="42"/>
  <c r="N19" i="42" s="1"/>
  <c r="C20" i="42"/>
  <c r="D19" i="42" s="1"/>
  <c r="E36" i="26"/>
  <c r="E36" i="27"/>
  <c r="E36" i="29"/>
  <c r="E36" i="30"/>
  <c r="E36" i="31"/>
  <c r="E36" i="32"/>
  <c r="E36" i="33"/>
  <c r="E36" i="34"/>
  <c r="E36" i="35"/>
  <c r="E36" i="2"/>
  <c r="Q11" i="32"/>
  <c r="R11" i="32" s="1"/>
  <c r="L19" i="42" l="1"/>
  <c r="C57" i="42"/>
  <c r="M69" i="42"/>
  <c r="R4" i="2"/>
  <c r="F19" i="42"/>
  <c r="M68" i="42"/>
  <c r="O68" i="42"/>
  <c r="E46" i="42"/>
  <c r="H19" i="42"/>
  <c r="M67" i="42"/>
  <c r="E57" i="42"/>
  <c r="O69" i="42"/>
  <c r="O56" i="42"/>
  <c r="Y56" i="42" s="1"/>
  <c r="O67" i="42"/>
  <c r="O71" i="42" s="1"/>
  <c r="J78" i="42"/>
  <c r="T56" i="42"/>
  <c r="AD56" i="42"/>
  <c r="O58" i="42"/>
  <c r="Y45" i="42"/>
  <c r="E40" i="42"/>
  <c r="J37" i="42" s="1"/>
  <c r="Y59" i="42"/>
  <c r="E39" i="42"/>
  <c r="J38" i="42" s="1"/>
  <c r="Y58" i="42"/>
  <c r="E55" i="42"/>
  <c r="O55" i="42"/>
  <c r="Y55" i="42" s="1"/>
  <c r="O57" i="42"/>
  <c r="E45" i="42"/>
  <c r="J57" i="42"/>
  <c r="E47" i="42"/>
  <c r="T47" i="42"/>
  <c r="J56" i="42"/>
  <c r="T55" i="42"/>
  <c r="AD55" i="42" s="1"/>
  <c r="AD59" i="42" s="1"/>
  <c r="J55" i="42"/>
  <c r="O49" i="42"/>
  <c r="T59" i="42"/>
  <c r="Y46" i="42"/>
  <c r="J46" i="42"/>
  <c r="Y48" i="42"/>
  <c r="O48" i="42"/>
  <c r="O47" i="42"/>
  <c r="O45" i="42"/>
  <c r="J45" i="42"/>
  <c r="O46" i="42"/>
  <c r="T58" i="42"/>
  <c r="Y49" i="42"/>
  <c r="T48" i="42"/>
  <c r="AD46" i="42"/>
  <c r="T46" i="42"/>
  <c r="T45" i="42"/>
  <c r="AD48" i="42"/>
  <c r="E37" i="42"/>
  <c r="AD50" i="42"/>
  <c r="AD45" i="42"/>
  <c r="L6" i="1"/>
  <c r="L5" i="1"/>
  <c r="M8" i="1"/>
  <c r="L7" i="1"/>
  <c r="M7" i="1"/>
  <c r="M9" i="1"/>
  <c r="M13" i="1"/>
  <c r="M14" i="1"/>
  <c r="M12" i="1"/>
  <c r="M6" i="1"/>
  <c r="M5" i="1"/>
  <c r="I4" i="2" s="1"/>
  <c r="L12" i="1"/>
  <c r="L11" i="1"/>
  <c r="L10" i="1"/>
  <c r="L9" i="1"/>
  <c r="C9" i="24" l="1"/>
  <c r="Y61" i="42"/>
  <c r="E59" i="42"/>
  <c r="E42" i="42"/>
  <c r="J40" i="42"/>
  <c r="J42" i="42" s="1"/>
  <c r="O60" i="42"/>
  <c r="T61" i="42"/>
  <c r="J49" i="42"/>
  <c r="E49" i="42"/>
  <c r="J59" i="42"/>
  <c r="O51" i="42"/>
  <c r="Y51" i="42"/>
  <c r="T50" i="42"/>
  <c r="F16" i="1"/>
  <c r="F8" i="1"/>
  <c r="F15" i="1"/>
  <c r="F14" i="1"/>
  <c r="F13" i="1"/>
  <c r="F12" i="1"/>
  <c r="F11" i="1"/>
  <c r="F10" i="1"/>
  <c r="F9" i="1"/>
  <c r="F6" i="1"/>
  <c r="F7" i="1"/>
  <c r="F5" i="1"/>
  <c r="L13" i="25"/>
  <c r="K13" i="25"/>
  <c r="I15" i="2"/>
  <c r="I7" i="2"/>
  <c r="S7" i="2" s="1"/>
  <c r="I14" i="2"/>
  <c r="I13" i="2"/>
  <c r="I12" i="2"/>
  <c r="S12" i="2" s="1"/>
  <c r="I11" i="2"/>
  <c r="I10" i="2"/>
  <c r="I9" i="2"/>
  <c r="I8" i="2"/>
  <c r="I5" i="2"/>
  <c r="I6" i="2"/>
  <c r="G15" i="2"/>
  <c r="AH15" i="2" s="1"/>
  <c r="G7" i="2"/>
  <c r="AH7" i="2" s="1"/>
  <c r="G14" i="2"/>
  <c r="AH14" i="2" s="1"/>
  <c r="G13" i="2"/>
  <c r="U13" i="2" s="1"/>
  <c r="G12" i="2"/>
  <c r="AH12" i="2" s="1"/>
  <c r="G11" i="2"/>
  <c r="AH11" i="2" s="1"/>
  <c r="G10" i="2"/>
  <c r="AH10" i="2" s="1"/>
  <c r="G9" i="2"/>
  <c r="AH9" i="2" s="1"/>
  <c r="G8" i="2"/>
  <c r="G5" i="2"/>
  <c r="AH5" i="2" s="1"/>
  <c r="G6" i="2"/>
  <c r="AH6" i="2" s="1"/>
  <c r="G4" i="2"/>
  <c r="AH4" i="2" s="1"/>
  <c r="BF16" i="1"/>
  <c r="BF8" i="1"/>
  <c r="BF15" i="1"/>
  <c r="BF14" i="1"/>
  <c r="BF13" i="1"/>
  <c r="BF12" i="1"/>
  <c r="BF10" i="1"/>
  <c r="BF9" i="1"/>
  <c r="BF7" i="1"/>
  <c r="BF5" i="1"/>
  <c r="BD22" i="1"/>
  <c r="BD21" i="1"/>
  <c r="AZ22" i="1"/>
  <c r="AZ21" i="1"/>
  <c r="AV22" i="1"/>
  <c r="AV21" i="1"/>
  <c r="AR22" i="1"/>
  <c r="AR21" i="1"/>
  <c r="AN22" i="1"/>
  <c r="AN21" i="1"/>
  <c r="AJ22" i="1"/>
  <c r="AJ21" i="1"/>
  <c r="AF22" i="1"/>
  <c r="AF21" i="1"/>
  <c r="AB22" i="1"/>
  <c r="AB21" i="1"/>
  <c r="X22" i="1"/>
  <c r="X21" i="1"/>
  <c r="T22" i="1"/>
  <c r="T21" i="1"/>
  <c r="V13" i="2" l="1"/>
  <c r="C12" i="24"/>
  <c r="C10" i="24"/>
  <c r="C15" i="24"/>
  <c r="C16" i="24"/>
  <c r="C17" i="24"/>
  <c r="C18" i="24"/>
  <c r="C19" i="24"/>
  <c r="C20" i="24"/>
  <c r="C13" i="24"/>
  <c r="C14" i="24"/>
  <c r="C22" i="24"/>
  <c r="C21" i="24"/>
  <c r="X4" i="2"/>
  <c r="S8" i="2"/>
  <c r="S9" i="2"/>
  <c r="S13" i="2"/>
  <c r="S15" i="2"/>
  <c r="S6" i="2"/>
  <c r="B34" i="24"/>
  <c r="B43" i="24"/>
  <c r="B42" i="24"/>
  <c r="B41" i="24"/>
  <c r="B35" i="24"/>
  <c r="B36" i="24"/>
  <c r="B38" i="24"/>
  <c r="B39" i="24"/>
  <c r="B30" i="24"/>
  <c r="B9" i="24"/>
  <c r="B21" i="25"/>
  <c r="Z21" i="25" s="1"/>
  <c r="B22" i="25"/>
  <c r="Z22" i="25" s="1"/>
  <c r="B24" i="25"/>
  <c r="Z24" i="25" s="1"/>
  <c r="B25" i="25"/>
  <c r="Z25" i="25" s="1"/>
  <c r="B26" i="25"/>
  <c r="Z26" i="25" s="1"/>
  <c r="B27" i="25"/>
  <c r="Z27" i="25" s="1"/>
  <c r="B20" i="25"/>
  <c r="Z20" i="25" s="1"/>
  <c r="B29" i="25"/>
  <c r="Z29" i="25" s="1"/>
  <c r="B28" i="25"/>
  <c r="Z28" i="25" s="1"/>
  <c r="B16" i="25"/>
  <c r="Z16" i="25" s="1"/>
  <c r="B8" i="23"/>
  <c r="B10" i="23"/>
  <c r="B11" i="23"/>
  <c r="B13" i="23"/>
  <c r="B14" i="23"/>
  <c r="B15" i="23"/>
  <c r="B16" i="23"/>
  <c r="B9" i="23"/>
  <c r="B18" i="23"/>
  <c r="B17" i="23"/>
  <c r="B5" i="23"/>
  <c r="C17" i="23"/>
  <c r="C18" i="23"/>
  <c r="C9" i="23"/>
  <c r="C16" i="23"/>
  <c r="C15" i="23"/>
  <c r="C14" i="23"/>
  <c r="C13" i="23"/>
  <c r="C12" i="23"/>
  <c r="C11" i="23"/>
  <c r="C10" i="23"/>
  <c r="C6" i="23"/>
  <c r="C8" i="23"/>
  <c r="C5" i="23"/>
  <c r="Q15" i="35"/>
  <c r="P15" i="35"/>
  <c r="BB16" i="1" s="1"/>
  <c r="L15" i="35"/>
  <c r="D15" i="35"/>
  <c r="C15" i="35"/>
  <c r="B15" i="35"/>
  <c r="AP15" i="35" s="1"/>
  <c r="Q7" i="35"/>
  <c r="R7" i="35" s="1"/>
  <c r="P7" i="35"/>
  <c r="BB8" i="1" s="1"/>
  <c r="L7" i="35"/>
  <c r="D7" i="35"/>
  <c r="C7" i="35"/>
  <c r="B7" i="35"/>
  <c r="AP7" i="35" s="1"/>
  <c r="Q14" i="35"/>
  <c r="P14" i="35"/>
  <c r="BB15" i="1" s="1"/>
  <c r="L14" i="35"/>
  <c r="D14" i="35"/>
  <c r="C14" i="35"/>
  <c r="B14" i="35"/>
  <c r="AP14" i="35" s="1"/>
  <c r="Q13" i="35"/>
  <c r="P13" i="35"/>
  <c r="BB14" i="1" s="1"/>
  <c r="L13" i="35"/>
  <c r="D13" i="35"/>
  <c r="C13" i="35"/>
  <c r="B13" i="35"/>
  <c r="AP13" i="35" s="1"/>
  <c r="Q12" i="35"/>
  <c r="P12" i="35"/>
  <c r="BB13" i="1" s="1"/>
  <c r="L12" i="35"/>
  <c r="D12" i="35"/>
  <c r="C12" i="35"/>
  <c r="B12" i="35"/>
  <c r="AP12" i="35" s="1"/>
  <c r="Q11" i="35"/>
  <c r="P11" i="35"/>
  <c r="BB12" i="1" s="1"/>
  <c r="L11" i="35"/>
  <c r="D11" i="35"/>
  <c r="C11" i="35"/>
  <c r="B11" i="35"/>
  <c r="AP11" i="35" s="1"/>
  <c r="Q10" i="35"/>
  <c r="P10" i="35"/>
  <c r="BB11" i="1" s="1"/>
  <c r="L10" i="35"/>
  <c r="C10" i="35"/>
  <c r="Q9" i="35"/>
  <c r="R9" i="35" s="1"/>
  <c r="P9" i="35"/>
  <c r="BB10" i="1" s="1"/>
  <c r="L9" i="35"/>
  <c r="D9" i="35"/>
  <c r="C9" i="35"/>
  <c r="B9" i="35"/>
  <c r="AP9" i="35" s="1"/>
  <c r="Q8" i="35"/>
  <c r="R8" i="35" s="1"/>
  <c r="P8" i="35"/>
  <c r="BB9" i="1" s="1"/>
  <c r="L8" i="35"/>
  <c r="D8" i="35"/>
  <c r="C8" i="35"/>
  <c r="B8" i="35"/>
  <c r="AP8" i="35" s="1"/>
  <c r="Q5" i="35"/>
  <c r="R5" i="35" s="1"/>
  <c r="P5" i="35"/>
  <c r="BB6" i="1" s="1"/>
  <c r="L5" i="35"/>
  <c r="C5" i="35"/>
  <c r="Q6" i="35"/>
  <c r="P6" i="35"/>
  <c r="BB7" i="1" s="1"/>
  <c r="L6" i="35"/>
  <c r="D6" i="35"/>
  <c r="C6" i="35"/>
  <c r="B6" i="35"/>
  <c r="AP6" i="35" s="1"/>
  <c r="P4" i="35"/>
  <c r="BB5" i="1" s="1"/>
  <c r="L4" i="35"/>
  <c r="D4" i="35"/>
  <c r="C4" i="35"/>
  <c r="B4" i="35"/>
  <c r="AP4" i="35" s="1"/>
  <c r="Q15" i="34"/>
  <c r="R15" i="34" s="1"/>
  <c r="P15" i="34"/>
  <c r="AX16" i="1" s="1"/>
  <c r="L15" i="34"/>
  <c r="D15" i="34"/>
  <c r="C15" i="34"/>
  <c r="B15" i="34"/>
  <c r="AP15" i="34" s="1"/>
  <c r="Q7" i="34"/>
  <c r="P7" i="34"/>
  <c r="AX8" i="1" s="1"/>
  <c r="L7" i="34"/>
  <c r="D7" i="34"/>
  <c r="C7" i="34"/>
  <c r="B7" i="34"/>
  <c r="AP7" i="34" s="1"/>
  <c r="Q14" i="34"/>
  <c r="P14" i="34"/>
  <c r="AX15" i="1" s="1"/>
  <c r="L14" i="34"/>
  <c r="D14" i="34"/>
  <c r="C14" i="34"/>
  <c r="B14" i="34"/>
  <c r="AP14" i="34" s="1"/>
  <c r="Q13" i="34"/>
  <c r="P13" i="34"/>
  <c r="AX14" i="1" s="1"/>
  <c r="L13" i="34"/>
  <c r="D13" i="34"/>
  <c r="C13" i="34"/>
  <c r="B13" i="34"/>
  <c r="AP13" i="34" s="1"/>
  <c r="Q12" i="34"/>
  <c r="R12" i="34" s="1"/>
  <c r="P12" i="34"/>
  <c r="AX13" i="1" s="1"/>
  <c r="L12" i="34"/>
  <c r="D12" i="34"/>
  <c r="C12" i="34"/>
  <c r="B12" i="34"/>
  <c r="AP12" i="34" s="1"/>
  <c r="Q11" i="34"/>
  <c r="P11" i="34"/>
  <c r="AX12" i="1" s="1"/>
  <c r="L11" i="34"/>
  <c r="D11" i="34"/>
  <c r="C11" i="34"/>
  <c r="B11" i="34"/>
  <c r="AP11" i="34" s="1"/>
  <c r="Q10" i="34"/>
  <c r="P10" i="34"/>
  <c r="AX11" i="1" s="1"/>
  <c r="L10" i="34"/>
  <c r="C10" i="34"/>
  <c r="Q9" i="34"/>
  <c r="R9" i="34" s="1"/>
  <c r="P9" i="34"/>
  <c r="AX10" i="1" s="1"/>
  <c r="L9" i="34"/>
  <c r="D9" i="34"/>
  <c r="C9" i="34"/>
  <c r="B9" i="34"/>
  <c r="AP9" i="34" s="1"/>
  <c r="Q8" i="34"/>
  <c r="R8" i="34" s="1"/>
  <c r="P8" i="34"/>
  <c r="AX9" i="1" s="1"/>
  <c r="L8" i="34"/>
  <c r="D8" i="34"/>
  <c r="C8" i="34"/>
  <c r="B8" i="34"/>
  <c r="AP8" i="34" s="1"/>
  <c r="Q5" i="34"/>
  <c r="P5" i="34"/>
  <c r="AX6" i="1" s="1"/>
  <c r="L5" i="34"/>
  <c r="C5" i="34"/>
  <c r="Q6" i="34"/>
  <c r="R6" i="34" s="1"/>
  <c r="P6" i="34"/>
  <c r="AX7" i="1" s="1"/>
  <c r="L6" i="34"/>
  <c r="D6" i="34"/>
  <c r="C6" i="34"/>
  <c r="B6" i="34"/>
  <c r="AP6" i="34" s="1"/>
  <c r="P4" i="34"/>
  <c r="AX5" i="1" s="1"/>
  <c r="L4" i="34"/>
  <c r="D4" i="34"/>
  <c r="C4" i="34"/>
  <c r="B4" i="34"/>
  <c r="AP4" i="34" s="1"/>
  <c r="Q15" i="33"/>
  <c r="P15" i="33"/>
  <c r="AT16" i="1" s="1"/>
  <c r="L15" i="33"/>
  <c r="D15" i="33"/>
  <c r="C15" i="33"/>
  <c r="B15" i="33"/>
  <c r="AP15" i="33" s="1"/>
  <c r="Q7" i="33"/>
  <c r="P7" i="33"/>
  <c r="AT8" i="1" s="1"/>
  <c r="L7" i="33"/>
  <c r="D7" i="33"/>
  <c r="C7" i="33"/>
  <c r="B7" i="33"/>
  <c r="AP7" i="33" s="1"/>
  <c r="Q14" i="33"/>
  <c r="P14" i="33"/>
  <c r="AT15" i="1" s="1"/>
  <c r="L14" i="33"/>
  <c r="D14" i="33"/>
  <c r="C14" i="33"/>
  <c r="B14" i="33"/>
  <c r="AP14" i="33" s="1"/>
  <c r="Q13" i="33"/>
  <c r="P13" i="33"/>
  <c r="AT14" i="1" s="1"/>
  <c r="L13" i="33"/>
  <c r="D13" i="33"/>
  <c r="C13" i="33"/>
  <c r="B13" i="33"/>
  <c r="AP13" i="33" s="1"/>
  <c r="Q12" i="33"/>
  <c r="P12" i="33"/>
  <c r="AT13" i="1" s="1"/>
  <c r="L12" i="33"/>
  <c r="D12" i="33"/>
  <c r="C12" i="33"/>
  <c r="B12" i="33"/>
  <c r="AP12" i="33" s="1"/>
  <c r="Q11" i="33"/>
  <c r="P11" i="33"/>
  <c r="AT12" i="1" s="1"/>
  <c r="L11" i="33"/>
  <c r="D11" i="33"/>
  <c r="C11" i="33"/>
  <c r="B11" i="33"/>
  <c r="AP11" i="33" s="1"/>
  <c r="Q10" i="33"/>
  <c r="R10" i="33" s="1"/>
  <c r="P10" i="33"/>
  <c r="AT11" i="1" s="1"/>
  <c r="L10" i="33"/>
  <c r="C10" i="33"/>
  <c r="Q9" i="33"/>
  <c r="R9" i="33" s="1"/>
  <c r="P9" i="33"/>
  <c r="AT10" i="1" s="1"/>
  <c r="L9" i="33"/>
  <c r="D9" i="33"/>
  <c r="C9" i="33"/>
  <c r="B9" i="33"/>
  <c r="AP9" i="33" s="1"/>
  <c r="Q8" i="33"/>
  <c r="R8" i="33" s="1"/>
  <c r="P8" i="33"/>
  <c r="AT9" i="1" s="1"/>
  <c r="L8" i="33"/>
  <c r="D8" i="33"/>
  <c r="C8" i="33"/>
  <c r="B8" i="33"/>
  <c r="AP8" i="33" s="1"/>
  <c r="Q5" i="33"/>
  <c r="P5" i="33"/>
  <c r="AT6" i="1" s="1"/>
  <c r="L5" i="33"/>
  <c r="C5" i="33"/>
  <c r="Q6" i="33"/>
  <c r="P6" i="33"/>
  <c r="AT7" i="1" s="1"/>
  <c r="L6" i="33"/>
  <c r="D6" i="33"/>
  <c r="C6" i="33"/>
  <c r="B6" i="33"/>
  <c r="AP6" i="33" s="1"/>
  <c r="P4" i="33"/>
  <c r="AT5" i="1" s="1"/>
  <c r="L4" i="33"/>
  <c r="D4" i="33"/>
  <c r="C4" i="33"/>
  <c r="B4" i="33"/>
  <c r="AP4" i="33" s="1"/>
  <c r="Q15" i="32"/>
  <c r="R15" i="32" s="1"/>
  <c r="P15" i="32"/>
  <c r="AP16" i="1" s="1"/>
  <c r="L15" i="32"/>
  <c r="D15" i="32"/>
  <c r="C15" i="32"/>
  <c r="B15" i="32"/>
  <c r="AP15" i="32" s="1"/>
  <c r="Q7" i="32"/>
  <c r="P7" i="32"/>
  <c r="AP8" i="1" s="1"/>
  <c r="L7" i="32"/>
  <c r="D7" i="32"/>
  <c r="C7" i="32"/>
  <c r="B7" i="32"/>
  <c r="AP7" i="32" s="1"/>
  <c r="Q14" i="32"/>
  <c r="P14" i="32"/>
  <c r="AP15" i="1" s="1"/>
  <c r="L14" i="32"/>
  <c r="D14" i="32"/>
  <c r="C14" i="32"/>
  <c r="B14" i="32"/>
  <c r="AP14" i="32" s="1"/>
  <c r="Q13" i="32"/>
  <c r="P13" i="32"/>
  <c r="AP14" i="1" s="1"/>
  <c r="L13" i="32"/>
  <c r="D13" i="32"/>
  <c r="C13" i="32"/>
  <c r="B13" i="32"/>
  <c r="AP13" i="32" s="1"/>
  <c r="Q12" i="32"/>
  <c r="R12" i="32" s="1"/>
  <c r="P12" i="32"/>
  <c r="AP13" i="1" s="1"/>
  <c r="L12" i="32"/>
  <c r="D12" i="32"/>
  <c r="C12" i="32"/>
  <c r="B12" i="32"/>
  <c r="AP12" i="32" s="1"/>
  <c r="P11" i="32"/>
  <c r="AP12" i="1" s="1"/>
  <c r="L11" i="32"/>
  <c r="D11" i="32"/>
  <c r="C11" i="32"/>
  <c r="B11" i="32"/>
  <c r="AP11" i="32" s="1"/>
  <c r="Q10" i="32"/>
  <c r="R10" i="32" s="1"/>
  <c r="P10" i="32"/>
  <c r="AP11" i="1" s="1"/>
  <c r="L10" i="32"/>
  <c r="C10" i="32"/>
  <c r="Q9" i="32"/>
  <c r="R9" i="32" s="1"/>
  <c r="P9" i="32"/>
  <c r="AP10" i="1" s="1"/>
  <c r="L9" i="32"/>
  <c r="D9" i="32"/>
  <c r="C9" i="32"/>
  <c r="B9" i="32"/>
  <c r="AP9" i="32" s="1"/>
  <c r="Q8" i="32"/>
  <c r="R8" i="32" s="1"/>
  <c r="P8" i="32"/>
  <c r="AP9" i="1" s="1"/>
  <c r="L8" i="32"/>
  <c r="D8" i="32"/>
  <c r="C8" i="32"/>
  <c r="B8" i="32"/>
  <c r="AP8" i="32" s="1"/>
  <c r="Q5" i="32"/>
  <c r="P5" i="32"/>
  <c r="AP6" i="1" s="1"/>
  <c r="L5" i="32"/>
  <c r="C5" i="32"/>
  <c r="Q6" i="32"/>
  <c r="R6" i="32" s="1"/>
  <c r="P6" i="32"/>
  <c r="AP7" i="1" s="1"/>
  <c r="L6" i="32"/>
  <c r="D6" i="32"/>
  <c r="C6" i="32"/>
  <c r="B6" i="32"/>
  <c r="AP6" i="32" s="1"/>
  <c r="P4" i="32"/>
  <c r="AP5" i="1" s="1"/>
  <c r="L4" i="32"/>
  <c r="D4" i="32"/>
  <c r="C4" i="32"/>
  <c r="B4" i="32"/>
  <c r="AP4" i="32" s="1"/>
  <c r="Q15" i="31"/>
  <c r="P15" i="31"/>
  <c r="AL16" i="1" s="1"/>
  <c r="L15" i="31"/>
  <c r="D15" i="31"/>
  <c r="C15" i="31"/>
  <c r="B15" i="31"/>
  <c r="AP15" i="31" s="1"/>
  <c r="Q7" i="31"/>
  <c r="P7" i="31"/>
  <c r="AL8" i="1" s="1"/>
  <c r="L7" i="31"/>
  <c r="D7" i="31"/>
  <c r="C7" i="31"/>
  <c r="B7" i="31"/>
  <c r="AP7" i="31" s="1"/>
  <c r="Q14" i="31"/>
  <c r="P14" i="31"/>
  <c r="AL15" i="1" s="1"/>
  <c r="L14" i="31"/>
  <c r="D14" i="31"/>
  <c r="C14" i="31"/>
  <c r="B14" i="31"/>
  <c r="AP14" i="31" s="1"/>
  <c r="Q13" i="31"/>
  <c r="P13" i="31"/>
  <c r="AL14" i="1" s="1"/>
  <c r="L13" i="31"/>
  <c r="D13" i="31"/>
  <c r="C13" i="31"/>
  <c r="B13" i="31"/>
  <c r="AP13" i="31" s="1"/>
  <c r="Q12" i="31"/>
  <c r="R12" i="31" s="1"/>
  <c r="P12" i="31"/>
  <c r="AL13" i="1" s="1"/>
  <c r="L12" i="31"/>
  <c r="D12" i="31"/>
  <c r="C12" i="31"/>
  <c r="B12" i="31"/>
  <c r="AP12" i="31" s="1"/>
  <c r="Q11" i="31"/>
  <c r="P11" i="31"/>
  <c r="AL12" i="1" s="1"/>
  <c r="L11" i="31"/>
  <c r="D11" i="31"/>
  <c r="C11" i="31"/>
  <c r="B11" i="31"/>
  <c r="AP11" i="31" s="1"/>
  <c r="Q10" i="31"/>
  <c r="P10" i="31"/>
  <c r="AL11" i="1" s="1"/>
  <c r="L10" i="31"/>
  <c r="C10" i="31"/>
  <c r="Q9" i="31"/>
  <c r="R9" i="31" s="1"/>
  <c r="P9" i="31"/>
  <c r="AL10" i="1" s="1"/>
  <c r="L9" i="31"/>
  <c r="D9" i="31"/>
  <c r="C9" i="31"/>
  <c r="B9" i="31"/>
  <c r="AP9" i="31" s="1"/>
  <c r="Q8" i="31"/>
  <c r="R8" i="31" s="1"/>
  <c r="P8" i="31"/>
  <c r="AL9" i="1" s="1"/>
  <c r="L8" i="31"/>
  <c r="D8" i="31"/>
  <c r="C8" i="31"/>
  <c r="B8" i="31"/>
  <c r="AP8" i="31" s="1"/>
  <c r="Q5" i="31"/>
  <c r="P5" i="31"/>
  <c r="AL6" i="1" s="1"/>
  <c r="L5" i="31"/>
  <c r="C5" i="31"/>
  <c r="Q6" i="31"/>
  <c r="P6" i="31"/>
  <c r="AL7" i="1" s="1"/>
  <c r="L6" i="31"/>
  <c r="D6" i="31"/>
  <c r="C6" i="31"/>
  <c r="B6" i="31"/>
  <c r="AP6" i="31" s="1"/>
  <c r="P4" i="31"/>
  <c r="AL5" i="1" s="1"/>
  <c r="L4" i="31"/>
  <c r="D4" i="31"/>
  <c r="C4" i="31"/>
  <c r="B4" i="31"/>
  <c r="AP4" i="31" s="1"/>
  <c r="Q15" i="30"/>
  <c r="R15" i="30" s="1"/>
  <c r="P15" i="30"/>
  <c r="AH16" i="1" s="1"/>
  <c r="L15" i="30"/>
  <c r="D15" i="30"/>
  <c r="C15" i="30"/>
  <c r="B15" i="30"/>
  <c r="AP15" i="30" s="1"/>
  <c r="Q7" i="30"/>
  <c r="P7" i="30"/>
  <c r="AH8" i="1" s="1"/>
  <c r="L7" i="30"/>
  <c r="D7" i="30"/>
  <c r="C7" i="30"/>
  <c r="B7" i="30"/>
  <c r="AP7" i="30" s="1"/>
  <c r="Q14" i="30"/>
  <c r="R14" i="30" s="1"/>
  <c r="P14" i="30"/>
  <c r="AH15" i="1" s="1"/>
  <c r="L14" i="30"/>
  <c r="D14" i="30"/>
  <c r="C14" i="30"/>
  <c r="B14" i="30"/>
  <c r="AP14" i="30" s="1"/>
  <c r="Q13" i="30"/>
  <c r="P13" i="30"/>
  <c r="AH14" i="1" s="1"/>
  <c r="L13" i="30"/>
  <c r="D13" i="30"/>
  <c r="C13" i="30"/>
  <c r="B13" i="30"/>
  <c r="AP13" i="30" s="1"/>
  <c r="Q12" i="30"/>
  <c r="R12" i="30" s="1"/>
  <c r="P12" i="30"/>
  <c r="AH13" i="1" s="1"/>
  <c r="L12" i="30"/>
  <c r="D12" i="30"/>
  <c r="C12" i="30"/>
  <c r="B12" i="30"/>
  <c r="AP12" i="30" s="1"/>
  <c r="Q11" i="30"/>
  <c r="P11" i="30"/>
  <c r="AH12" i="1" s="1"/>
  <c r="L11" i="30"/>
  <c r="D11" i="30"/>
  <c r="C11" i="30"/>
  <c r="B11" i="30"/>
  <c r="AP11" i="30" s="1"/>
  <c r="Q10" i="30"/>
  <c r="R10" i="30" s="1"/>
  <c r="P10" i="30"/>
  <c r="AH11" i="1" s="1"/>
  <c r="L10" i="30"/>
  <c r="C10" i="30"/>
  <c r="Q9" i="30"/>
  <c r="R9" i="30" s="1"/>
  <c r="P9" i="30"/>
  <c r="AH10" i="1" s="1"/>
  <c r="L9" i="30"/>
  <c r="D9" i="30"/>
  <c r="C9" i="30"/>
  <c r="B9" i="30"/>
  <c r="AP9" i="30" s="1"/>
  <c r="Q8" i="30"/>
  <c r="R8" i="30" s="1"/>
  <c r="P8" i="30"/>
  <c r="AH9" i="1" s="1"/>
  <c r="L8" i="30"/>
  <c r="D8" i="30"/>
  <c r="C8" i="30"/>
  <c r="B8" i="30"/>
  <c r="AP8" i="30" s="1"/>
  <c r="Q5" i="30"/>
  <c r="P5" i="30"/>
  <c r="AH6" i="1" s="1"/>
  <c r="L5" i="30"/>
  <c r="C5" i="30"/>
  <c r="Q6" i="30"/>
  <c r="R6" i="30" s="1"/>
  <c r="P6" i="30"/>
  <c r="AH7" i="1" s="1"/>
  <c r="L6" i="30"/>
  <c r="D6" i="30"/>
  <c r="C6" i="30"/>
  <c r="B6" i="30"/>
  <c r="AP6" i="30" s="1"/>
  <c r="P4" i="30"/>
  <c r="AH5" i="1" s="1"/>
  <c r="L4" i="30"/>
  <c r="D4" i="30"/>
  <c r="C4" i="30"/>
  <c r="B4" i="30"/>
  <c r="AP4" i="30" s="1"/>
  <c r="Q15" i="29"/>
  <c r="P15" i="29"/>
  <c r="AD16" i="1" s="1"/>
  <c r="L15" i="29"/>
  <c r="D15" i="29"/>
  <c r="C15" i="29"/>
  <c r="B15" i="29"/>
  <c r="AP15" i="29" s="1"/>
  <c r="Q7" i="29"/>
  <c r="R7" i="29" s="1"/>
  <c r="P7" i="29"/>
  <c r="AD8" i="1" s="1"/>
  <c r="L7" i="29"/>
  <c r="D7" i="29"/>
  <c r="C7" i="29"/>
  <c r="B7" i="29"/>
  <c r="AP7" i="29" s="1"/>
  <c r="Q14" i="29"/>
  <c r="P14" i="29"/>
  <c r="AD15" i="1" s="1"/>
  <c r="L14" i="29"/>
  <c r="D14" i="29"/>
  <c r="C14" i="29"/>
  <c r="B14" i="29"/>
  <c r="AP14" i="29" s="1"/>
  <c r="Q13" i="29"/>
  <c r="P13" i="29"/>
  <c r="AD14" i="1" s="1"/>
  <c r="L13" i="29"/>
  <c r="D13" i="29"/>
  <c r="C13" i="29"/>
  <c r="B13" i="29"/>
  <c r="AP13" i="29" s="1"/>
  <c r="Q12" i="29"/>
  <c r="P12" i="29"/>
  <c r="AD13" i="1" s="1"/>
  <c r="L12" i="29"/>
  <c r="D12" i="29"/>
  <c r="C12" i="29"/>
  <c r="B12" i="29"/>
  <c r="AP12" i="29" s="1"/>
  <c r="Q11" i="29"/>
  <c r="P11" i="29"/>
  <c r="AD12" i="1" s="1"/>
  <c r="L11" i="29"/>
  <c r="D11" i="29"/>
  <c r="C11" i="29"/>
  <c r="B11" i="29"/>
  <c r="AP11" i="29" s="1"/>
  <c r="Q10" i="29"/>
  <c r="P10" i="29"/>
  <c r="AD11" i="1" s="1"/>
  <c r="L10" i="29"/>
  <c r="C10" i="29"/>
  <c r="Q9" i="29"/>
  <c r="R9" i="29" s="1"/>
  <c r="P9" i="29"/>
  <c r="AD10" i="1" s="1"/>
  <c r="L9" i="29"/>
  <c r="D9" i="29"/>
  <c r="C9" i="29"/>
  <c r="B9" i="29"/>
  <c r="AP9" i="29" s="1"/>
  <c r="Q8" i="29"/>
  <c r="R8" i="29" s="1"/>
  <c r="P8" i="29"/>
  <c r="AD9" i="1" s="1"/>
  <c r="L8" i="29"/>
  <c r="D8" i="29"/>
  <c r="C8" i="29"/>
  <c r="B8" i="29"/>
  <c r="AP8" i="29" s="1"/>
  <c r="Q5" i="29"/>
  <c r="P5" i="29"/>
  <c r="AD6" i="1" s="1"/>
  <c r="L5" i="29"/>
  <c r="C5" i="29"/>
  <c r="Q6" i="29"/>
  <c r="P6" i="29"/>
  <c r="AD7" i="1" s="1"/>
  <c r="L6" i="29"/>
  <c r="D6" i="29"/>
  <c r="C6" i="29"/>
  <c r="B6" i="29"/>
  <c r="AP6" i="29" s="1"/>
  <c r="P4" i="29"/>
  <c r="AD5" i="1" s="1"/>
  <c r="L4" i="29"/>
  <c r="D4" i="29"/>
  <c r="C4" i="29"/>
  <c r="B4" i="29"/>
  <c r="AP4" i="29" s="1"/>
  <c r="Q15" i="28"/>
  <c r="P15" i="28"/>
  <c r="Z16" i="1" s="1"/>
  <c r="L15" i="28"/>
  <c r="D15" i="28"/>
  <c r="C15" i="28"/>
  <c r="B15" i="28"/>
  <c r="AP15" i="28" s="1"/>
  <c r="Q7" i="28"/>
  <c r="R7" i="28" s="1"/>
  <c r="P7" i="28"/>
  <c r="Z8" i="1" s="1"/>
  <c r="L7" i="28"/>
  <c r="D7" i="28"/>
  <c r="C7" i="28"/>
  <c r="B7" i="28"/>
  <c r="AP7" i="28" s="1"/>
  <c r="Q14" i="28"/>
  <c r="R14" i="28" s="1"/>
  <c r="P14" i="28"/>
  <c r="Z15" i="1" s="1"/>
  <c r="L14" i="28"/>
  <c r="D14" i="28"/>
  <c r="C14" i="28"/>
  <c r="B14" i="28"/>
  <c r="AP14" i="28" s="1"/>
  <c r="Q13" i="28"/>
  <c r="P13" i="28"/>
  <c r="Z14" i="1" s="1"/>
  <c r="L13" i="28"/>
  <c r="D13" i="28"/>
  <c r="C13" i="28"/>
  <c r="B13" i="28"/>
  <c r="AP13" i="28" s="1"/>
  <c r="Q12" i="28"/>
  <c r="R12" i="28" s="1"/>
  <c r="P12" i="28"/>
  <c r="Z13" i="1" s="1"/>
  <c r="D12" i="28"/>
  <c r="C12" i="28"/>
  <c r="B12" i="28"/>
  <c r="AP12" i="28" s="1"/>
  <c r="Q11" i="28"/>
  <c r="P11" i="28"/>
  <c r="Z12" i="1" s="1"/>
  <c r="L11" i="28"/>
  <c r="D11" i="28"/>
  <c r="C11" i="28"/>
  <c r="B11" i="28"/>
  <c r="AP11" i="28" s="1"/>
  <c r="Q10" i="28"/>
  <c r="P10" i="28"/>
  <c r="Z11" i="1" s="1"/>
  <c r="L10" i="28"/>
  <c r="C10" i="28"/>
  <c r="Q9" i="28"/>
  <c r="R9" i="28" s="1"/>
  <c r="P9" i="28"/>
  <c r="Z10" i="1" s="1"/>
  <c r="L9" i="28"/>
  <c r="D9" i="28"/>
  <c r="C9" i="28"/>
  <c r="B9" i="28"/>
  <c r="AP9" i="28" s="1"/>
  <c r="Q8" i="28"/>
  <c r="R8" i="28" s="1"/>
  <c r="P8" i="28"/>
  <c r="Z9" i="1" s="1"/>
  <c r="L8" i="28"/>
  <c r="D8" i="28"/>
  <c r="C8" i="28"/>
  <c r="B8" i="28"/>
  <c r="AP8" i="28" s="1"/>
  <c r="Q5" i="28"/>
  <c r="P5" i="28"/>
  <c r="Z6" i="1" s="1"/>
  <c r="L5" i="28"/>
  <c r="C5" i="28"/>
  <c r="Q6" i="28"/>
  <c r="P6" i="28"/>
  <c r="Z7" i="1" s="1"/>
  <c r="L6" i="28"/>
  <c r="D6" i="28"/>
  <c r="C6" i="28"/>
  <c r="B6" i="28"/>
  <c r="AP6" i="28" s="1"/>
  <c r="P4" i="28"/>
  <c r="Z5" i="1" s="1"/>
  <c r="L4" i="28"/>
  <c r="D4" i="28"/>
  <c r="C4" i="28"/>
  <c r="B4" i="28"/>
  <c r="AP4" i="28" s="1"/>
  <c r="Q15" i="27"/>
  <c r="P15" i="27"/>
  <c r="V16" i="1" s="1"/>
  <c r="L15" i="27"/>
  <c r="D15" i="27"/>
  <c r="C15" i="27"/>
  <c r="B15" i="27"/>
  <c r="AP15" i="27" s="1"/>
  <c r="Q7" i="27"/>
  <c r="P7" i="27"/>
  <c r="V8" i="1" s="1"/>
  <c r="L7" i="27"/>
  <c r="D7" i="27"/>
  <c r="C7" i="27"/>
  <c r="B7" i="27"/>
  <c r="AP7" i="27" s="1"/>
  <c r="Q14" i="27"/>
  <c r="R14" i="27" s="1"/>
  <c r="P14" i="27"/>
  <c r="V15" i="1" s="1"/>
  <c r="L14" i="27"/>
  <c r="D14" i="27"/>
  <c r="C14" i="27"/>
  <c r="B14" i="27"/>
  <c r="AP14" i="27" s="1"/>
  <c r="P13" i="27"/>
  <c r="V14" i="1" s="1"/>
  <c r="L13" i="27"/>
  <c r="D13" i="27"/>
  <c r="C13" i="27"/>
  <c r="B13" i="27"/>
  <c r="AP13" i="27" s="1"/>
  <c r="Q12" i="27"/>
  <c r="P12" i="27"/>
  <c r="V13" i="1" s="1"/>
  <c r="L12" i="27"/>
  <c r="D12" i="27"/>
  <c r="C12" i="27"/>
  <c r="B12" i="27"/>
  <c r="AP12" i="27" s="1"/>
  <c r="Q11" i="27"/>
  <c r="R11" i="27" s="1"/>
  <c r="P11" i="27"/>
  <c r="V12" i="1" s="1"/>
  <c r="L11" i="27"/>
  <c r="D11" i="27"/>
  <c r="C11" i="27"/>
  <c r="B11" i="27"/>
  <c r="AP11" i="27" s="1"/>
  <c r="Q10" i="27"/>
  <c r="P10" i="27"/>
  <c r="V11" i="1" s="1"/>
  <c r="L10" i="27"/>
  <c r="C10" i="27"/>
  <c r="Q9" i="27"/>
  <c r="R9" i="27" s="1"/>
  <c r="P9" i="27"/>
  <c r="V10" i="1" s="1"/>
  <c r="L9" i="27"/>
  <c r="D9" i="27"/>
  <c r="C9" i="27"/>
  <c r="B9" i="27"/>
  <c r="AP9" i="27" s="1"/>
  <c r="Q8" i="27"/>
  <c r="R8" i="27" s="1"/>
  <c r="P8" i="27"/>
  <c r="V9" i="1" s="1"/>
  <c r="L8" i="27"/>
  <c r="D8" i="27"/>
  <c r="C8" i="27"/>
  <c r="B8" i="27"/>
  <c r="AP8" i="27" s="1"/>
  <c r="Q5" i="27"/>
  <c r="R5" i="27" s="1"/>
  <c r="P5" i="27"/>
  <c r="V6" i="1" s="1"/>
  <c r="L5" i="27"/>
  <c r="C5" i="27"/>
  <c r="Q6" i="27"/>
  <c r="P6" i="27"/>
  <c r="V7" i="1" s="1"/>
  <c r="D6" i="27"/>
  <c r="C6" i="27"/>
  <c r="B6" i="27"/>
  <c r="AP6" i="27" s="1"/>
  <c r="P4" i="27"/>
  <c r="V5" i="1" s="1"/>
  <c r="L4" i="27"/>
  <c r="D4" i="27"/>
  <c r="C4" i="27"/>
  <c r="B4" i="27"/>
  <c r="AP4" i="27" s="1"/>
  <c r="Q15" i="26"/>
  <c r="P15" i="26"/>
  <c r="L15" i="26"/>
  <c r="D15" i="26"/>
  <c r="C15" i="26"/>
  <c r="Q7" i="26"/>
  <c r="P7" i="26"/>
  <c r="L7" i="26"/>
  <c r="D7" i="26"/>
  <c r="C7" i="26"/>
  <c r="B7" i="26"/>
  <c r="AP7" i="26" s="1"/>
  <c r="Q14" i="26"/>
  <c r="P14" i="26"/>
  <c r="L14" i="26"/>
  <c r="D14" i="26"/>
  <c r="C14" i="26"/>
  <c r="B14" i="26"/>
  <c r="AP14" i="26" s="1"/>
  <c r="Q13" i="26"/>
  <c r="P13" i="26"/>
  <c r="L13" i="26"/>
  <c r="D13" i="26"/>
  <c r="C13" i="26"/>
  <c r="B13" i="26"/>
  <c r="AP13" i="26" s="1"/>
  <c r="Q12" i="26"/>
  <c r="P12" i="26"/>
  <c r="L12" i="26"/>
  <c r="D12" i="26"/>
  <c r="C12" i="26"/>
  <c r="B12" i="26"/>
  <c r="AP12" i="26" s="1"/>
  <c r="Q11" i="26"/>
  <c r="P11" i="26"/>
  <c r="L11" i="26"/>
  <c r="D11" i="26"/>
  <c r="C11" i="26"/>
  <c r="B11" i="26"/>
  <c r="AP11" i="26" s="1"/>
  <c r="Q10" i="26"/>
  <c r="P10" i="26"/>
  <c r="L10" i="26"/>
  <c r="C10" i="26"/>
  <c r="Q9" i="26"/>
  <c r="R9" i="26" s="1"/>
  <c r="P9" i="26"/>
  <c r="L9" i="26"/>
  <c r="D9" i="26"/>
  <c r="C9" i="26"/>
  <c r="B9" i="26"/>
  <c r="AP9" i="26" s="1"/>
  <c r="Q8" i="26"/>
  <c r="R8" i="26" s="1"/>
  <c r="P8" i="26"/>
  <c r="L8" i="26"/>
  <c r="D8" i="26"/>
  <c r="C8" i="26"/>
  <c r="B8" i="26"/>
  <c r="AP8" i="26" s="1"/>
  <c r="Q5" i="26"/>
  <c r="P5" i="26"/>
  <c r="L5" i="26"/>
  <c r="C5" i="26"/>
  <c r="Q6" i="26"/>
  <c r="P6" i="26"/>
  <c r="L6" i="26"/>
  <c r="D6" i="26"/>
  <c r="C6" i="26"/>
  <c r="B6" i="26"/>
  <c r="AP6" i="26" s="1"/>
  <c r="P4" i="26"/>
  <c r="L4" i="26"/>
  <c r="D4" i="26"/>
  <c r="C4" i="26"/>
  <c r="B4" i="26"/>
  <c r="AP4" i="26" s="1"/>
  <c r="P4" i="2"/>
  <c r="N5" i="1" s="1"/>
  <c r="P15" i="2"/>
  <c r="N16" i="1" s="1"/>
  <c r="P7" i="2"/>
  <c r="N8" i="1" s="1"/>
  <c r="P14" i="2"/>
  <c r="N15" i="1" s="1"/>
  <c r="P13" i="2"/>
  <c r="N14" i="1" s="1"/>
  <c r="P12" i="2"/>
  <c r="N13" i="1" s="1"/>
  <c r="P11" i="2"/>
  <c r="N12" i="1" s="1"/>
  <c r="P10" i="2"/>
  <c r="N11" i="1" s="1"/>
  <c r="P9" i="2"/>
  <c r="N10" i="1" s="1"/>
  <c r="P8" i="2"/>
  <c r="N9" i="1" s="1"/>
  <c r="P5" i="2"/>
  <c r="N6" i="1" s="1"/>
  <c r="P6" i="2"/>
  <c r="N7" i="1" s="1"/>
  <c r="W25" i="25" l="1"/>
  <c r="AC25" i="25"/>
  <c r="W24" i="25"/>
  <c r="AC24" i="25"/>
  <c r="W22" i="25"/>
  <c r="AC22" i="25"/>
  <c r="W21" i="25"/>
  <c r="AC21" i="25"/>
  <c r="AC16" i="25"/>
  <c r="W16" i="25"/>
  <c r="W28" i="25"/>
  <c r="AC28" i="25"/>
  <c r="W29" i="25"/>
  <c r="AC29" i="25"/>
  <c r="W20" i="25"/>
  <c r="AC20" i="25"/>
  <c r="W27" i="25"/>
  <c r="AC27" i="25"/>
  <c r="W26" i="25"/>
  <c r="AC26" i="25"/>
  <c r="E34" i="32"/>
  <c r="E34" i="27"/>
  <c r="E34" i="30"/>
  <c r="E34" i="34"/>
  <c r="E34" i="29"/>
  <c r="E34" i="31"/>
  <c r="E34" i="33"/>
  <c r="E34" i="26"/>
  <c r="E34" i="28"/>
  <c r="R13" i="35"/>
  <c r="E34" i="35"/>
  <c r="Q24" i="25"/>
  <c r="T24" i="25"/>
  <c r="Q16" i="25"/>
  <c r="T16" i="25"/>
  <c r="Q28" i="25"/>
  <c r="T28" i="25"/>
  <c r="Q22" i="25"/>
  <c r="T22" i="25"/>
  <c r="Q29" i="25"/>
  <c r="T29" i="25"/>
  <c r="Q21" i="25"/>
  <c r="T21" i="25"/>
  <c r="Q20" i="25"/>
  <c r="T20" i="25"/>
  <c r="Q27" i="25"/>
  <c r="T27" i="25"/>
  <c r="Q26" i="25"/>
  <c r="T26" i="25"/>
  <c r="Q25" i="25"/>
  <c r="T25" i="25"/>
  <c r="Q19" i="25"/>
  <c r="T19" i="25"/>
  <c r="X5" i="27"/>
  <c r="Z5" i="27" s="1"/>
  <c r="R16" i="1"/>
  <c r="R5" i="1"/>
  <c r="R15" i="1"/>
  <c r="R9" i="1"/>
  <c r="R14" i="1"/>
  <c r="R13" i="1"/>
  <c r="R6" i="1"/>
  <c r="R12" i="1"/>
  <c r="R8" i="1"/>
  <c r="R7" i="1"/>
  <c r="R11" i="1"/>
  <c r="R10" i="1"/>
  <c r="I14" i="23"/>
  <c r="M14" i="23" s="1"/>
  <c r="E17" i="23"/>
  <c r="E6" i="23"/>
  <c r="F10" i="23"/>
  <c r="G11" i="23"/>
  <c r="H12" i="23"/>
  <c r="E18" i="23"/>
  <c r="E8" i="23"/>
  <c r="I13" i="23"/>
  <c r="M13" i="23" s="1"/>
  <c r="F17" i="23"/>
  <c r="F6" i="23"/>
  <c r="G10" i="23"/>
  <c r="H11" i="23"/>
  <c r="I12" i="23"/>
  <c r="M12" i="23" s="1"/>
  <c r="E9" i="23"/>
  <c r="F18" i="23"/>
  <c r="F8" i="23"/>
  <c r="G17" i="23"/>
  <c r="G6" i="23"/>
  <c r="H10" i="23"/>
  <c r="I11" i="23"/>
  <c r="M11" i="23" s="1"/>
  <c r="E16" i="23"/>
  <c r="F9" i="23"/>
  <c r="G18" i="23"/>
  <c r="G8" i="23"/>
  <c r="E15" i="23"/>
  <c r="H17" i="23"/>
  <c r="H6" i="23"/>
  <c r="I10" i="23"/>
  <c r="M10" i="23" s="1"/>
  <c r="E14" i="23"/>
  <c r="F16" i="23"/>
  <c r="G9" i="23"/>
  <c r="H18" i="23"/>
  <c r="H8" i="23"/>
  <c r="F15" i="23"/>
  <c r="I17" i="23"/>
  <c r="M17" i="23" s="1"/>
  <c r="I6" i="23"/>
  <c r="M6" i="23" s="1"/>
  <c r="E13" i="23"/>
  <c r="F14" i="23"/>
  <c r="G16" i="23"/>
  <c r="H9" i="23"/>
  <c r="I18" i="23"/>
  <c r="M18" i="23" s="1"/>
  <c r="I8" i="23"/>
  <c r="M8" i="23" s="1"/>
  <c r="E12" i="23"/>
  <c r="G15" i="23"/>
  <c r="E5" i="23"/>
  <c r="K5" i="23" s="1"/>
  <c r="F13" i="23"/>
  <c r="G14" i="23"/>
  <c r="H16" i="23"/>
  <c r="I9" i="23"/>
  <c r="M9" i="23" s="1"/>
  <c r="I5" i="23"/>
  <c r="M5" i="23" s="1"/>
  <c r="E11" i="23"/>
  <c r="F12" i="23"/>
  <c r="H15" i="23"/>
  <c r="H5" i="23"/>
  <c r="G13" i="23"/>
  <c r="H14" i="23"/>
  <c r="I16" i="23"/>
  <c r="M16" i="23" s="1"/>
  <c r="G5" i="23"/>
  <c r="E10" i="23"/>
  <c r="F11" i="23"/>
  <c r="G12" i="23"/>
  <c r="I15" i="23"/>
  <c r="M15" i="23" s="1"/>
  <c r="F5" i="23"/>
  <c r="H13" i="23"/>
  <c r="R6" i="35"/>
  <c r="R15" i="35"/>
  <c r="R14" i="35"/>
  <c r="R12" i="35"/>
  <c r="E26" i="35"/>
  <c r="R11" i="35"/>
  <c r="R10" i="35"/>
  <c r="R5" i="34"/>
  <c r="X5" i="34" s="1"/>
  <c r="Z5" i="34" s="1"/>
  <c r="AC5" i="34" s="1"/>
  <c r="R7" i="34"/>
  <c r="R14" i="34"/>
  <c r="R13" i="34"/>
  <c r="E26" i="34"/>
  <c r="R11" i="34"/>
  <c r="R10" i="34"/>
  <c r="R5" i="33"/>
  <c r="R6" i="33"/>
  <c r="R15" i="33"/>
  <c r="R7" i="33"/>
  <c r="R14" i="33"/>
  <c r="R13" i="33"/>
  <c r="R12" i="33"/>
  <c r="E26" i="33"/>
  <c r="R11" i="33"/>
  <c r="R5" i="32"/>
  <c r="R7" i="32"/>
  <c r="R14" i="32"/>
  <c r="R13" i="32"/>
  <c r="E26" i="32"/>
  <c r="R5" i="31"/>
  <c r="R6" i="31"/>
  <c r="R15" i="31"/>
  <c r="R7" i="31"/>
  <c r="R14" i="31"/>
  <c r="R13" i="31"/>
  <c r="E26" i="31"/>
  <c r="R11" i="31"/>
  <c r="R10" i="31"/>
  <c r="R5" i="30"/>
  <c r="R7" i="30"/>
  <c r="R13" i="30"/>
  <c r="E26" i="30"/>
  <c r="R11" i="30"/>
  <c r="R5" i="29"/>
  <c r="R15" i="29"/>
  <c r="R6" i="29"/>
  <c r="R14" i="29"/>
  <c r="R13" i="29"/>
  <c r="R12" i="29"/>
  <c r="E26" i="29"/>
  <c r="R11" i="29"/>
  <c r="R10" i="29"/>
  <c r="R5" i="28"/>
  <c r="R6" i="28"/>
  <c r="R15" i="28"/>
  <c r="R13" i="28"/>
  <c r="E26" i="28"/>
  <c r="R11" i="28"/>
  <c r="R10" i="28"/>
  <c r="R6" i="27"/>
  <c r="R15" i="27"/>
  <c r="R7" i="27"/>
  <c r="R13" i="27"/>
  <c r="R12" i="27"/>
  <c r="E26" i="27"/>
  <c r="R10" i="27"/>
  <c r="R5" i="26"/>
  <c r="X5" i="26" s="1"/>
  <c r="R15" i="26"/>
  <c r="R6" i="26"/>
  <c r="R7" i="26"/>
  <c r="R14" i="26"/>
  <c r="R13" i="26"/>
  <c r="R12" i="26"/>
  <c r="E26" i="26"/>
  <c r="R11" i="26"/>
  <c r="R10" i="26"/>
  <c r="D6" i="2"/>
  <c r="D8" i="2"/>
  <c r="D9" i="2"/>
  <c r="D11" i="2"/>
  <c r="D12" i="2"/>
  <c r="D13" i="2"/>
  <c r="D14" i="2"/>
  <c r="D7" i="2"/>
  <c r="D15" i="2"/>
  <c r="D4" i="2"/>
  <c r="C6" i="2"/>
  <c r="C5" i="2"/>
  <c r="C8" i="2"/>
  <c r="C9" i="2"/>
  <c r="C10" i="2"/>
  <c r="C11" i="2"/>
  <c r="C12" i="2"/>
  <c r="C13" i="2"/>
  <c r="C14" i="2"/>
  <c r="C7" i="2"/>
  <c r="C15" i="2"/>
  <c r="C4" i="2"/>
  <c r="T20" i="1" l="1"/>
  <c r="X20" i="1"/>
  <c r="AV20" i="1"/>
  <c r="BD20" i="1"/>
  <c r="AJ20" i="1"/>
  <c r="AN20" i="1"/>
  <c r="AB20" i="1"/>
  <c r="AF20" i="1"/>
  <c r="AZ20" i="1"/>
  <c r="AR20" i="1"/>
  <c r="B6" i="2"/>
  <c r="AP6" i="2" s="1"/>
  <c r="B8" i="2"/>
  <c r="AP8" i="2" s="1"/>
  <c r="B9" i="2"/>
  <c r="AP9" i="2" s="1"/>
  <c r="B11" i="2"/>
  <c r="AP11" i="2" s="1"/>
  <c r="B12" i="2"/>
  <c r="AP12" i="2" s="1"/>
  <c r="B13" i="2"/>
  <c r="AP13" i="2" s="1"/>
  <c r="B14" i="2"/>
  <c r="AP14" i="2" s="1"/>
  <c r="B7" i="2"/>
  <c r="AP7" i="2" s="1"/>
  <c r="B15" i="2"/>
  <c r="AP15" i="2" s="1"/>
  <c r="B4" i="2"/>
  <c r="P22" i="1"/>
  <c r="L15" i="2"/>
  <c r="L7" i="2"/>
  <c r="L14" i="2"/>
  <c r="L13" i="2"/>
  <c r="L12" i="2"/>
  <c r="L11" i="2"/>
  <c r="L10" i="2"/>
  <c r="L9" i="2"/>
  <c r="L8" i="2"/>
  <c r="L5" i="2"/>
  <c r="L6" i="2"/>
  <c r="L4" i="2"/>
  <c r="F20" i="1"/>
  <c r="AP4" i="2" l="1"/>
  <c r="E26" i="2"/>
  <c r="Q6" i="2"/>
  <c r="Q5" i="2"/>
  <c r="Q8" i="2"/>
  <c r="Q9" i="2"/>
  <c r="Q10" i="2"/>
  <c r="Q11" i="2"/>
  <c r="Q12" i="2"/>
  <c r="Q13" i="2"/>
  <c r="Q14" i="2"/>
  <c r="Q7" i="2"/>
  <c r="Q15" i="2"/>
  <c r="P21" i="1"/>
  <c r="E34" i="2" l="1"/>
  <c r="R10" i="2"/>
  <c r="X10" i="2" s="1"/>
  <c r="R9" i="2"/>
  <c r="X9" i="2" s="1"/>
  <c r="R15" i="2"/>
  <c r="X15" i="2" s="1"/>
  <c r="R6" i="2"/>
  <c r="X6" i="2" s="1"/>
  <c r="R7" i="2"/>
  <c r="X7" i="2" s="1"/>
  <c r="R14" i="2"/>
  <c r="X14" i="2" s="1"/>
  <c r="R12" i="2"/>
  <c r="X12" i="2" s="1"/>
  <c r="R11" i="2"/>
  <c r="X11" i="2" s="1"/>
  <c r="R5" i="2"/>
  <c r="X5" i="2" s="1"/>
  <c r="R13" i="2"/>
  <c r="X13" i="2" s="1"/>
  <c r="R8" i="2"/>
  <c r="X8" i="2" s="1"/>
  <c r="Z16" i="2" l="1"/>
  <c r="Z11" i="2"/>
  <c r="Z10" i="2"/>
  <c r="Z14" i="2"/>
  <c r="Z12" i="2"/>
  <c r="Z5" i="2"/>
  <c r="Z4" i="2"/>
  <c r="Z7" i="2"/>
  <c r="Z6" i="2"/>
  <c r="Z8" i="2"/>
  <c r="Z15" i="2"/>
  <c r="Z13" i="2"/>
  <c r="Z9" i="2"/>
  <c r="E12" i="1"/>
  <c r="G12" i="1"/>
  <c r="U6" i="2" l="1"/>
  <c r="AK6" i="2"/>
  <c r="AK13" i="2"/>
  <c r="U12" i="2"/>
  <c r="AK12" i="2"/>
  <c r="U15" i="2"/>
  <c r="AK15" i="2"/>
  <c r="U10" i="2"/>
  <c r="AK10" i="2"/>
  <c r="U8" i="2"/>
  <c r="AK8" i="2"/>
  <c r="U11" i="2"/>
  <c r="AK11" i="2"/>
  <c r="U5" i="2"/>
  <c r="AK5" i="2"/>
  <c r="U7" i="2"/>
  <c r="AK7" i="2"/>
  <c r="U9" i="2"/>
  <c r="AK9" i="2"/>
  <c r="U14" i="2"/>
  <c r="AK14" i="2"/>
  <c r="U4" i="2"/>
  <c r="AK4" i="2"/>
  <c r="E27" i="2"/>
  <c r="G28" i="2" s="1"/>
  <c r="P20" i="1"/>
  <c r="G7" i="1"/>
  <c r="E7" i="1"/>
  <c r="AN21" i="2" l="1"/>
  <c r="AN22" i="2" s="1"/>
  <c r="E28" i="2"/>
  <c r="E30" i="2"/>
  <c r="G30" i="2"/>
  <c r="G26" i="2"/>
  <c r="G22" i="2"/>
  <c r="G25" i="2"/>
  <c r="G24" i="2"/>
  <c r="G23" i="2"/>
  <c r="G21" i="2"/>
  <c r="G29" i="2"/>
  <c r="G27" i="2"/>
  <c r="G32" i="2"/>
  <c r="G31" i="2"/>
  <c r="E31" i="2" l="1"/>
  <c r="AL17" i="2"/>
  <c r="AL16" i="2"/>
  <c r="AN23" i="2"/>
  <c r="AL10" i="2"/>
  <c r="AL12" i="2"/>
  <c r="AL11" i="2"/>
  <c r="AL13" i="2"/>
  <c r="AL15" i="2"/>
  <c r="AL4" i="2"/>
  <c r="AL5" i="2"/>
  <c r="AL14" i="2"/>
  <c r="AL6" i="2"/>
  <c r="AL7" i="2"/>
  <c r="AL8" i="2"/>
  <c r="AL9" i="2"/>
  <c r="J16" i="2" l="1"/>
  <c r="Y16" i="2" s="1"/>
  <c r="H16" i="2"/>
  <c r="H4" i="2"/>
  <c r="J4" i="2"/>
  <c r="Y4" i="2" s="1"/>
  <c r="H17" i="2"/>
  <c r="E32" i="2"/>
  <c r="J17" i="2"/>
  <c r="Y17" i="2" s="1"/>
  <c r="AM4" i="2" l="1"/>
  <c r="AN4" i="2" s="1"/>
  <c r="AD16" i="2"/>
  <c r="AM16" i="2"/>
  <c r="AN16" i="2" s="1"/>
  <c r="AM17" i="2"/>
  <c r="AN17" i="2" s="1"/>
  <c r="AA17" i="2"/>
  <c r="AD17" i="2"/>
  <c r="AE17" i="2" s="1"/>
  <c r="AF17" i="2" s="1"/>
  <c r="AG17" i="2" s="1"/>
  <c r="AI17" i="2" s="1"/>
  <c r="G11" i="26"/>
  <c r="AH11" i="26" s="1"/>
  <c r="E6" i="1"/>
  <c r="G6" i="1"/>
  <c r="AO4" i="2" l="1"/>
  <c r="AO4" i="26" s="1"/>
  <c r="Q5" i="1"/>
  <c r="I17" i="26"/>
  <c r="I17" i="27"/>
  <c r="AO16" i="2"/>
  <c r="Q17" i="1"/>
  <c r="AB17" i="2"/>
  <c r="O18" i="1" s="1"/>
  <c r="AC17" i="2"/>
  <c r="AO17" i="2"/>
  <c r="Q18" i="1"/>
  <c r="AB16" i="2"/>
  <c r="O17" i="1" s="1"/>
  <c r="AC16" i="2"/>
  <c r="G4" i="26"/>
  <c r="AH4" i="26" s="1"/>
  <c r="G15" i="26"/>
  <c r="AH15" i="26" s="1"/>
  <c r="G5" i="26"/>
  <c r="AH5" i="26" s="1"/>
  <c r="G9" i="26"/>
  <c r="AH9" i="26" s="1"/>
  <c r="G6" i="26"/>
  <c r="AH6" i="26" s="1"/>
  <c r="G10" i="26"/>
  <c r="AH10" i="26" s="1"/>
  <c r="P18" i="1" l="1"/>
  <c r="AJ17" i="2"/>
  <c r="AJ17" i="26" s="1"/>
  <c r="AJ16" i="2"/>
  <c r="AJ16" i="26" s="1"/>
  <c r="P17" i="1"/>
  <c r="G14" i="26"/>
  <c r="AH14" i="26" s="1"/>
  <c r="G7" i="26"/>
  <c r="AH7" i="26" s="1"/>
  <c r="G12" i="26" l="1"/>
  <c r="AH12" i="26" s="1"/>
  <c r="X7" i="26" l="1"/>
  <c r="X11" i="26"/>
  <c r="AK7" i="26" l="1"/>
  <c r="U7" i="26"/>
  <c r="AK11" i="26"/>
  <c r="U11" i="26"/>
  <c r="U5" i="26"/>
  <c r="AK5" i="26"/>
  <c r="G7" i="27" l="1"/>
  <c r="AH7" i="27" s="1"/>
  <c r="G5" i="27"/>
  <c r="AH5" i="27" s="1"/>
  <c r="G11" i="27"/>
  <c r="AH11" i="27" s="1"/>
  <c r="AK11" i="27" l="1"/>
  <c r="U5" i="27"/>
  <c r="AK5" i="27"/>
  <c r="G6" i="27"/>
  <c r="AH6" i="27" s="1"/>
  <c r="G15" i="27"/>
  <c r="AH15" i="27" s="1"/>
  <c r="G4" i="27"/>
  <c r="AH4" i="27" s="1"/>
  <c r="G14" i="27"/>
  <c r="AH14" i="27" s="1"/>
  <c r="G10" i="27"/>
  <c r="AH10" i="27" s="1"/>
  <c r="G9" i="27"/>
  <c r="AH9" i="27" s="1"/>
  <c r="G12" i="27"/>
  <c r="AH12" i="27" s="1"/>
  <c r="X11" i="28" l="1"/>
  <c r="Z11" i="28" s="1"/>
  <c r="AC11" i="28" l="1"/>
  <c r="AB11" i="28"/>
  <c r="AA12" i="1" s="1"/>
  <c r="AK5" i="28" l="1"/>
  <c r="U11" i="28"/>
  <c r="AK11" i="28"/>
  <c r="AB12" i="1"/>
  <c r="G12" i="28" l="1"/>
  <c r="AH12" i="28" s="1"/>
  <c r="G9" i="28" l="1"/>
  <c r="AH9" i="28" s="1"/>
  <c r="G15" i="28"/>
  <c r="AH15" i="28" s="1"/>
  <c r="G7" i="28"/>
  <c r="AH7" i="28" s="1"/>
  <c r="G4" i="28"/>
  <c r="AH4" i="28" s="1"/>
  <c r="G14" i="28"/>
  <c r="AH14" i="28" s="1"/>
  <c r="G6" i="28"/>
  <c r="AH6" i="28" s="1"/>
  <c r="G10" i="28"/>
  <c r="AH10" i="28" s="1"/>
  <c r="G5" i="28"/>
  <c r="AH5" i="28" s="1"/>
  <c r="G11" i="28"/>
  <c r="AH11" i="28" s="1"/>
  <c r="X11" i="29"/>
  <c r="Z11" i="29" s="1"/>
  <c r="X15" i="29"/>
  <c r="Z15" i="29" s="1"/>
  <c r="U11" i="29" l="1"/>
  <c r="AK11" i="29"/>
  <c r="U15" i="29"/>
  <c r="AK15" i="29"/>
  <c r="X11" i="30" l="1"/>
  <c r="Z11" i="30" s="1"/>
  <c r="X12" i="30"/>
  <c r="Z12" i="30" s="1"/>
  <c r="X15" i="30"/>
  <c r="AB11" i="30" l="1"/>
  <c r="AI12" i="1" s="1"/>
  <c r="AC11" i="30"/>
  <c r="Z15" i="30"/>
  <c r="X6" i="30"/>
  <c r="Z6" i="30" s="1"/>
  <c r="U15" i="30" l="1"/>
  <c r="AK15" i="30"/>
  <c r="U12" i="30"/>
  <c r="AK12" i="30"/>
  <c r="U11" i="30"/>
  <c r="AK11" i="30"/>
  <c r="G7" i="29"/>
  <c r="AH7" i="29" s="1"/>
  <c r="G5" i="29"/>
  <c r="AH5" i="29" s="1"/>
  <c r="G15" i="29"/>
  <c r="AH15" i="29" s="1"/>
  <c r="G12" i="29"/>
  <c r="AH12" i="29" s="1"/>
  <c r="G11" i="29"/>
  <c r="AH11" i="29" s="1"/>
  <c r="G6" i="29"/>
  <c r="AH6" i="29" s="1"/>
  <c r="G10" i="29"/>
  <c r="AH10" i="29" s="1"/>
  <c r="G9" i="29"/>
  <c r="AH9" i="29" s="1"/>
  <c r="G14" i="29"/>
  <c r="AH14" i="29" s="1"/>
  <c r="G4" i="29"/>
  <c r="AH4" i="29" s="1"/>
  <c r="AJ12" i="1"/>
  <c r="U6" i="30" l="1"/>
  <c r="AK6" i="30"/>
  <c r="AC15" i="30"/>
  <c r="AJ16" i="1" s="1"/>
  <c r="AB15" i="30"/>
  <c r="AI16" i="1" s="1"/>
  <c r="X11" i="31" l="1"/>
  <c r="Z11" i="31" s="1"/>
  <c r="X15" i="31"/>
  <c r="Z15" i="31" s="1"/>
  <c r="AC6" i="30" l="1"/>
  <c r="AB6" i="30"/>
  <c r="AI7" i="1" s="1"/>
  <c r="U11" i="31" l="1"/>
  <c r="AK11" i="31"/>
  <c r="U15" i="31"/>
  <c r="AK15" i="31"/>
  <c r="AB12" i="30"/>
  <c r="AI13" i="1" s="1"/>
  <c r="AC12" i="30"/>
  <c r="AJ7" i="1"/>
  <c r="AJ13" i="1" l="1"/>
  <c r="G14" i="30" l="1"/>
  <c r="AH14" i="30" s="1"/>
  <c r="G11" i="30"/>
  <c r="AH11" i="30" s="1"/>
  <c r="G10" i="30"/>
  <c r="AH10" i="30" s="1"/>
  <c r="G15" i="30"/>
  <c r="AH15" i="30" s="1"/>
  <c r="X15" i="32" l="1"/>
  <c r="Z15" i="32" s="1"/>
  <c r="X6" i="32" l="1"/>
  <c r="Z6" i="32" s="1"/>
  <c r="U15" i="32" l="1"/>
  <c r="AK15" i="32"/>
  <c r="G4" i="30"/>
  <c r="G12" i="30"/>
  <c r="AH12" i="30" s="1"/>
  <c r="G9" i="30"/>
  <c r="AH9" i="30" s="1"/>
  <c r="G7" i="30"/>
  <c r="AH7" i="30" s="1"/>
  <c r="G5" i="30"/>
  <c r="G6" i="30"/>
  <c r="AH6" i="30" s="1"/>
  <c r="U6" i="32" l="1"/>
  <c r="AK6" i="32"/>
  <c r="G10" i="31"/>
  <c r="AH10" i="31" s="1"/>
  <c r="G15" i="31"/>
  <c r="AH15" i="31" s="1"/>
  <c r="G11" i="31"/>
  <c r="AH11" i="31" s="1"/>
  <c r="G14" i="31"/>
  <c r="AH14" i="31" s="1"/>
  <c r="AB15" i="32"/>
  <c r="AQ16" i="1" s="1"/>
  <c r="AC15" i="32"/>
  <c r="AR16" i="1" l="1"/>
  <c r="X15" i="33" l="1"/>
  <c r="Z15" i="33" s="1"/>
  <c r="G7" i="31" l="1"/>
  <c r="AH7" i="31" s="1"/>
  <c r="G12" i="31"/>
  <c r="AH12" i="31" s="1"/>
  <c r="G6" i="31"/>
  <c r="AH6" i="31" s="1"/>
  <c r="G9" i="31"/>
  <c r="AH9" i="31" s="1"/>
  <c r="AB6" i="32"/>
  <c r="AQ7" i="1" s="1"/>
  <c r="U15" i="33" l="1"/>
  <c r="AK15" i="33"/>
  <c r="X11" i="34" l="1"/>
  <c r="Z11" i="34" s="1"/>
  <c r="X15" i="34"/>
  <c r="Z15" i="34" s="1"/>
  <c r="U11" i="34" l="1"/>
  <c r="AK11" i="34"/>
  <c r="U5" i="34"/>
  <c r="AK5" i="34"/>
  <c r="U15" i="34"/>
  <c r="AK15" i="34"/>
  <c r="G7" i="32" l="1"/>
  <c r="AH7" i="32" s="1"/>
  <c r="G12" i="32"/>
  <c r="AH12" i="32" s="1"/>
  <c r="G11" i="32"/>
  <c r="AH11" i="32" s="1"/>
  <c r="G15" i="32"/>
  <c r="AH15" i="32" s="1"/>
  <c r="G6" i="32"/>
  <c r="AH6" i="32" s="1"/>
  <c r="G9" i="32"/>
  <c r="AH9" i="32" s="1"/>
  <c r="G10" i="32"/>
  <c r="AH10" i="32" s="1"/>
  <c r="G14" i="32"/>
  <c r="AH14" i="32" s="1"/>
  <c r="AB15" i="34"/>
  <c r="AY16" i="1" s="1"/>
  <c r="AC15" i="34"/>
  <c r="AZ16" i="1" s="1"/>
  <c r="X6" i="35" l="1"/>
  <c r="Z6" i="35" s="1"/>
  <c r="AB11" i="34" l="1"/>
  <c r="AY12" i="1" s="1"/>
  <c r="AC11" i="34"/>
  <c r="AB5" i="34"/>
  <c r="AY6" i="1" s="1"/>
  <c r="U6" i="35" l="1"/>
  <c r="AK6" i="35"/>
  <c r="AZ12" i="1"/>
  <c r="AZ6" i="1"/>
  <c r="K6" i="23" l="1"/>
  <c r="K16" i="23"/>
  <c r="K12" i="23"/>
  <c r="K13" i="23"/>
  <c r="K11" i="23"/>
  <c r="K15" i="23"/>
  <c r="K8" i="23"/>
  <c r="K9" i="23"/>
  <c r="K18" i="23"/>
  <c r="K17" i="23"/>
  <c r="K10" i="23"/>
  <c r="K14" i="23"/>
  <c r="G6" i="33" l="1"/>
  <c r="AH6" i="33" s="1"/>
  <c r="G14" i="33"/>
  <c r="AH14" i="33" s="1"/>
  <c r="G11" i="33"/>
  <c r="AH11" i="33" s="1"/>
  <c r="G15" i="33"/>
  <c r="AH15" i="33" s="1"/>
  <c r="G10" i="33"/>
  <c r="AH10" i="33" s="1"/>
  <c r="G7" i="33"/>
  <c r="AH7" i="33" s="1"/>
  <c r="G9" i="33"/>
  <c r="AH9" i="33" s="1"/>
  <c r="G12" i="33"/>
  <c r="AH12" i="33" s="1"/>
  <c r="E5" i="1" l="1"/>
  <c r="G5" i="1"/>
  <c r="G16" i="1"/>
  <c r="E16" i="1"/>
  <c r="G15" i="1"/>
  <c r="E15" i="1"/>
  <c r="E11" i="1"/>
  <c r="G11" i="1"/>
  <c r="G8" i="1"/>
  <c r="E8" i="1"/>
  <c r="E14" i="1"/>
  <c r="G14" i="1"/>
  <c r="E13" i="1"/>
  <c r="G13" i="1"/>
  <c r="E10" i="1"/>
  <c r="G10" i="1"/>
  <c r="E9" i="1"/>
  <c r="G9" i="1"/>
  <c r="B15" i="26" l="1"/>
  <c r="AP15" i="26" s="1"/>
  <c r="AC6" i="35"/>
  <c r="AB6" i="35"/>
  <c r="G20" i="1"/>
  <c r="E20" i="1"/>
  <c r="BC7" i="1" l="1"/>
  <c r="BD7" i="1"/>
  <c r="G11" i="34" l="1"/>
  <c r="AH11" i="34" s="1"/>
  <c r="G9" i="34" l="1"/>
  <c r="AH9" i="34" s="1"/>
  <c r="G6" i="34"/>
  <c r="AH6" i="34" s="1"/>
  <c r="G14" i="34"/>
  <c r="AH14" i="34" s="1"/>
  <c r="G7" i="34"/>
  <c r="AH7" i="34" s="1"/>
  <c r="G15" i="34"/>
  <c r="AH15" i="34" s="1"/>
  <c r="G12" i="34"/>
  <c r="AH12" i="34" s="1"/>
  <c r="G10" i="34"/>
  <c r="AH10" i="34" s="1"/>
  <c r="G14" i="35" l="1"/>
  <c r="AH14" i="35" s="1"/>
  <c r="G9" i="35"/>
  <c r="AH9" i="35" s="1"/>
  <c r="G7" i="35"/>
  <c r="AH7" i="35" s="1"/>
  <c r="G12" i="35"/>
  <c r="AH12" i="35" s="1"/>
  <c r="G6" i="35"/>
  <c r="AH6" i="35" s="1"/>
  <c r="G15" i="35" l="1"/>
  <c r="AH15" i="35" s="1"/>
  <c r="G10" i="35"/>
  <c r="AH10" i="35" s="1"/>
  <c r="G11" i="35"/>
  <c r="AH11" i="35" s="1"/>
  <c r="AC6" i="32" l="1"/>
  <c r="AR7" i="1" s="1"/>
  <c r="J5" i="2"/>
  <c r="Y5" i="2" l="1"/>
  <c r="H13" i="2"/>
  <c r="H5" i="2"/>
  <c r="H7" i="2"/>
  <c r="J6" i="2"/>
  <c r="J11" i="2"/>
  <c r="J12" i="2"/>
  <c r="J8" i="2"/>
  <c r="W8" i="2" s="1"/>
  <c r="H14" i="2"/>
  <c r="H12" i="2"/>
  <c r="H11" i="2"/>
  <c r="H6" i="2"/>
  <c r="J10" i="2"/>
  <c r="H10" i="2"/>
  <c r="J7" i="2"/>
  <c r="H8" i="2"/>
  <c r="J14" i="2"/>
  <c r="H9" i="2"/>
  <c r="J9" i="2"/>
  <c r="H15" i="2"/>
  <c r="J13" i="2"/>
  <c r="J15" i="2"/>
  <c r="W13" i="2" l="1"/>
  <c r="AM5" i="2"/>
  <c r="AN5" i="2" s="1"/>
  <c r="Y8" i="2"/>
  <c r="AM8" i="2" s="1"/>
  <c r="AD5" i="2"/>
  <c r="Y15" i="2"/>
  <c r="AM15" i="2" s="1"/>
  <c r="AN15" i="2" s="1"/>
  <c r="Q16" i="1" s="1"/>
  <c r="Y14" i="2"/>
  <c r="AM14" i="2" s="1"/>
  <c r="Y13" i="2"/>
  <c r="AM13" i="2" s="1"/>
  <c r="AN13" i="2" s="1"/>
  <c r="AO13" i="2" s="1"/>
  <c r="Y12" i="2"/>
  <c r="AM12" i="2" s="1"/>
  <c r="Y11" i="2"/>
  <c r="Y10" i="2"/>
  <c r="AM10" i="2" s="1"/>
  <c r="Y9" i="2"/>
  <c r="AM9" i="2" s="1"/>
  <c r="Y7" i="2"/>
  <c r="AM7" i="2" s="1"/>
  <c r="Y6" i="2"/>
  <c r="AD4" i="2"/>
  <c r="AB5" i="2"/>
  <c r="O6" i="1" s="1"/>
  <c r="AM11" i="2" l="1"/>
  <c r="AN11" i="2" s="1"/>
  <c r="AO11" i="2" s="1"/>
  <c r="AM6" i="2"/>
  <c r="AN6" i="2" s="1"/>
  <c r="Q7" i="1" s="1"/>
  <c r="Q6" i="1"/>
  <c r="AO5" i="2"/>
  <c r="AA5" i="2"/>
  <c r="AC5" i="2" s="1"/>
  <c r="AA16" i="2"/>
  <c r="AA4" i="2"/>
  <c r="AO15" i="2"/>
  <c r="Q14" i="1"/>
  <c r="AA15" i="2"/>
  <c r="AC15" i="2" s="1"/>
  <c r="AD15" i="2"/>
  <c r="AN7" i="2"/>
  <c r="AO7" i="2" s="1"/>
  <c r="AN14" i="2"/>
  <c r="Q15" i="1" s="1"/>
  <c r="AN10" i="2"/>
  <c r="AO10" i="2" s="1"/>
  <c r="AN8" i="2"/>
  <c r="AO8" i="2" s="1"/>
  <c r="AN12" i="2"/>
  <c r="Q13" i="1" s="1"/>
  <c r="AC4" i="2"/>
  <c r="AJ4" i="2" s="1"/>
  <c r="AN9" i="2"/>
  <c r="AO9" i="2" s="1"/>
  <c r="AD14" i="2"/>
  <c r="AA14" i="2"/>
  <c r="AC14" i="2" s="1"/>
  <c r="AA12" i="2"/>
  <c r="AC12" i="2" s="1"/>
  <c r="AD13" i="2"/>
  <c r="AA13" i="2"/>
  <c r="AD9" i="2"/>
  <c r="AD11" i="2"/>
  <c r="AE11" i="2" s="1"/>
  <c r="AF11" i="2" s="1"/>
  <c r="AG11" i="2" s="1"/>
  <c r="AI11" i="2" s="1"/>
  <c r="AD7" i="2"/>
  <c r="AA11" i="2"/>
  <c r="AD12" i="2"/>
  <c r="AD8" i="2"/>
  <c r="AA10" i="2"/>
  <c r="AC10" i="2" s="1"/>
  <c r="AD10" i="2"/>
  <c r="AA8" i="2"/>
  <c r="AC8" i="2" s="1"/>
  <c r="AA9" i="2"/>
  <c r="AA7" i="2"/>
  <c r="AD6" i="2"/>
  <c r="AA6" i="2"/>
  <c r="AC6" i="2" s="1"/>
  <c r="AB4" i="2"/>
  <c r="AB15" i="2"/>
  <c r="O16" i="1" s="1"/>
  <c r="C28" i="25" l="1"/>
  <c r="I11" i="26"/>
  <c r="C24" i="25" s="1"/>
  <c r="I11" i="27"/>
  <c r="P6" i="1"/>
  <c r="AJ5" i="2"/>
  <c r="Q8" i="1"/>
  <c r="Q12" i="1"/>
  <c r="Q10" i="1"/>
  <c r="Q9" i="1"/>
  <c r="AO6" i="2"/>
  <c r="Q11" i="1"/>
  <c r="AB7" i="2"/>
  <c r="AC7" i="2"/>
  <c r="P8" i="1" s="1"/>
  <c r="AO12" i="2"/>
  <c r="AB9" i="2"/>
  <c r="O10" i="1" s="1"/>
  <c r="AC9" i="2"/>
  <c r="P10" i="1" s="1"/>
  <c r="AO14" i="2"/>
  <c r="AB13" i="2"/>
  <c r="O14" i="1" s="1"/>
  <c r="AC13" i="2"/>
  <c r="P14" i="1" s="1"/>
  <c r="AB14" i="2"/>
  <c r="O15" i="1" s="1"/>
  <c r="AB11" i="2"/>
  <c r="O12" i="1" s="1"/>
  <c r="AC11" i="2"/>
  <c r="P12" i="1" s="1"/>
  <c r="AB12" i="2"/>
  <c r="O13" i="1" s="1"/>
  <c r="AB8" i="2"/>
  <c r="AB10" i="2"/>
  <c r="O11" i="1" s="1"/>
  <c r="E29" i="2"/>
  <c r="AB6" i="2"/>
  <c r="O7" i="1" s="1"/>
  <c r="AE15" i="2"/>
  <c r="AF15" i="2" s="1"/>
  <c r="AG15" i="2" s="1"/>
  <c r="AI15" i="2" s="1"/>
  <c r="I15" i="27" s="1"/>
  <c r="S14" i="26"/>
  <c r="X14" i="26" s="1"/>
  <c r="O5" i="1"/>
  <c r="P5" i="1"/>
  <c r="P11" i="1"/>
  <c r="AJ10" i="2"/>
  <c r="P13" i="1"/>
  <c r="AJ12" i="2"/>
  <c r="S12" i="26"/>
  <c r="X12" i="26" s="1"/>
  <c r="P15" i="1"/>
  <c r="AJ14" i="2"/>
  <c r="P9" i="1"/>
  <c r="AJ8" i="2"/>
  <c r="P16" i="1"/>
  <c r="AJ15" i="2"/>
  <c r="AJ6" i="2"/>
  <c r="P7" i="1"/>
  <c r="U11" i="27" l="1"/>
  <c r="S11" i="27"/>
  <c r="X11" i="27" s="1"/>
  <c r="O8" i="1"/>
  <c r="O9" i="1"/>
  <c r="AE6" i="2"/>
  <c r="AF6" i="2" s="1"/>
  <c r="AG6" i="2" s="1"/>
  <c r="AI6" i="2" s="1"/>
  <c r="AE8" i="2"/>
  <c r="AF8" i="2" s="1"/>
  <c r="AG8" i="2" s="1"/>
  <c r="AI8" i="2" s="1"/>
  <c r="AE16" i="2"/>
  <c r="AF16" i="2" s="1"/>
  <c r="AG16" i="2" s="1"/>
  <c r="AI16" i="2" s="1"/>
  <c r="AE5" i="2"/>
  <c r="AF5" i="2" s="1"/>
  <c r="AG5" i="2" s="1"/>
  <c r="AI5" i="2" s="1"/>
  <c r="AE14" i="2"/>
  <c r="AF14" i="2" s="1"/>
  <c r="AG14" i="2" s="1"/>
  <c r="AI14" i="2" s="1"/>
  <c r="AE7" i="2"/>
  <c r="AF7" i="2" s="1"/>
  <c r="AG7" i="2" s="1"/>
  <c r="AI7" i="2" s="1"/>
  <c r="AE12" i="2"/>
  <c r="AF12" i="2" s="1"/>
  <c r="AG12" i="2" s="1"/>
  <c r="AI12" i="2" s="1"/>
  <c r="AE4" i="2"/>
  <c r="AF4" i="2" s="1"/>
  <c r="AG4" i="2" s="1"/>
  <c r="AI4" i="2" s="1"/>
  <c r="AE13" i="2"/>
  <c r="AF13" i="2" s="1"/>
  <c r="AG13" i="2" s="1"/>
  <c r="AH13" i="2" s="1"/>
  <c r="AH8" i="2"/>
  <c r="G8" i="26" s="1"/>
  <c r="AH8" i="26" s="1"/>
  <c r="G8" i="27" s="1"/>
  <c r="AH8" i="27" s="1"/>
  <c r="G8" i="28" s="1"/>
  <c r="AH8" i="28" s="1"/>
  <c r="G8" i="29" s="1"/>
  <c r="AH8" i="29" s="1"/>
  <c r="G8" i="30" s="1"/>
  <c r="AH8" i="30" s="1"/>
  <c r="G8" i="31" s="1"/>
  <c r="AH8" i="31" s="1"/>
  <c r="G8" i="32" s="1"/>
  <c r="AH8" i="32" s="1"/>
  <c r="G8" i="33" s="1"/>
  <c r="AH8" i="33" s="1"/>
  <c r="G8" i="34" s="1"/>
  <c r="AH8" i="34" s="1"/>
  <c r="G8" i="35" s="1"/>
  <c r="AH8" i="35" s="1"/>
  <c r="AE9" i="2"/>
  <c r="AF9" i="2" s="1"/>
  <c r="AG9" i="2" s="1"/>
  <c r="AI9" i="2" s="1"/>
  <c r="I25" i="2"/>
  <c r="I24" i="2"/>
  <c r="I27" i="2"/>
  <c r="AE10" i="2"/>
  <c r="AF10" i="2" s="1"/>
  <c r="AG10" i="2" s="1"/>
  <c r="AI10" i="2" s="1"/>
  <c r="I23" i="2"/>
  <c r="I22" i="2"/>
  <c r="I21" i="2"/>
  <c r="AJ11" i="2"/>
  <c r="AJ13" i="2"/>
  <c r="AJ9" i="2"/>
  <c r="Z11" i="26"/>
  <c r="AJ7" i="2"/>
  <c r="I32" i="2"/>
  <c r="I26" i="2"/>
  <c r="I30" i="2"/>
  <c r="I31" i="2"/>
  <c r="I29" i="2"/>
  <c r="I28" i="2"/>
  <c r="I15" i="26"/>
  <c r="C29" i="25" s="1"/>
  <c r="I6" i="26" l="1"/>
  <c r="C19" i="25" s="1"/>
  <c r="I6" i="27"/>
  <c r="I8" i="26"/>
  <c r="I8" i="27"/>
  <c r="I16" i="26"/>
  <c r="C30" i="25" s="1"/>
  <c r="I16" i="27"/>
  <c r="I5" i="26"/>
  <c r="C17" i="25" s="1"/>
  <c r="I5" i="27"/>
  <c r="I14" i="26"/>
  <c r="C27" i="25" s="1"/>
  <c r="I14" i="27"/>
  <c r="I7" i="26"/>
  <c r="C20" i="25" s="1"/>
  <c r="I7" i="27"/>
  <c r="I12" i="26"/>
  <c r="C25" i="25" s="1"/>
  <c r="I12" i="27"/>
  <c r="I4" i="26"/>
  <c r="C16" i="25" s="1"/>
  <c r="I4" i="27"/>
  <c r="I9" i="26"/>
  <c r="C22" i="25" s="1"/>
  <c r="I9" i="27"/>
  <c r="I10" i="26"/>
  <c r="I10" i="27"/>
  <c r="AI13" i="2"/>
  <c r="G13" i="26"/>
  <c r="AC11" i="26"/>
  <c r="AB11" i="26"/>
  <c r="S12" i="1" s="1"/>
  <c r="S15" i="26"/>
  <c r="X15" i="26" s="1"/>
  <c r="S9" i="26"/>
  <c r="X9" i="26" s="1"/>
  <c r="S6" i="26"/>
  <c r="X6" i="26" s="1"/>
  <c r="U10" i="26"/>
  <c r="AK10" i="26"/>
  <c r="U14" i="26"/>
  <c r="AK14" i="26"/>
  <c r="U12" i="26"/>
  <c r="AK12" i="26"/>
  <c r="S4" i="26"/>
  <c r="X4" i="26" s="1"/>
  <c r="E29" i="25" l="1"/>
  <c r="H29" i="25"/>
  <c r="N29" i="25" s="1"/>
  <c r="AA29" i="25" s="1"/>
  <c r="I29" i="25"/>
  <c r="O29" i="25" s="1"/>
  <c r="AD29" i="25" s="1"/>
  <c r="E19" i="25"/>
  <c r="I19" i="25"/>
  <c r="O19" i="25" s="1"/>
  <c r="AD19" i="25" s="1"/>
  <c r="G19" i="25"/>
  <c r="M19" i="25" s="1"/>
  <c r="X19" i="25" s="1"/>
  <c r="F19" i="25"/>
  <c r="L19" i="25" s="1"/>
  <c r="H19" i="25"/>
  <c r="N19" i="25" s="1"/>
  <c r="AA19" i="25" s="1"/>
  <c r="C21" i="25"/>
  <c r="S8" i="26"/>
  <c r="X8" i="26" s="1"/>
  <c r="Z8" i="26" s="1"/>
  <c r="AC8" i="26" s="1"/>
  <c r="F30" i="25"/>
  <c r="L30" i="25" s="1"/>
  <c r="U30" i="25" s="1"/>
  <c r="I30" i="25"/>
  <c r="O30" i="25" s="1"/>
  <c r="AD30" i="25" s="1"/>
  <c r="G30" i="25"/>
  <c r="M30" i="25" s="1"/>
  <c r="X30" i="25" s="1"/>
  <c r="E30" i="25"/>
  <c r="K30" i="25" s="1"/>
  <c r="R30" i="25" s="1"/>
  <c r="H30" i="25"/>
  <c r="N30" i="25" s="1"/>
  <c r="AA30" i="25" s="1"/>
  <c r="I27" i="25"/>
  <c r="O27" i="25" s="1"/>
  <c r="AD27" i="25" s="1"/>
  <c r="G27" i="25"/>
  <c r="M27" i="25" s="1"/>
  <c r="X27" i="25" s="1"/>
  <c r="F27" i="25"/>
  <c r="L27" i="25" s="1"/>
  <c r="E27" i="25"/>
  <c r="H27" i="25"/>
  <c r="N27" i="25" s="1"/>
  <c r="AA27" i="25" s="1"/>
  <c r="G20" i="25"/>
  <c r="M20" i="25" s="1"/>
  <c r="X20" i="25" s="1"/>
  <c r="I20" i="25"/>
  <c r="O20" i="25" s="1"/>
  <c r="AD20" i="25" s="1"/>
  <c r="F20" i="25"/>
  <c r="L20" i="25" s="1"/>
  <c r="E20" i="25"/>
  <c r="H20" i="25"/>
  <c r="N20" i="25" s="1"/>
  <c r="AA20" i="25" s="1"/>
  <c r="I25" i="25"/>
  <c r="O25" i="25" s="1"/>
  <c r="AD25" i="25" s="1"/>
  <c r="G25" i="25"/>
  <c r="M25" i="25" s="1"/>
  <c r="X25" i="25" s="1"/>
  <c r="E25" i="25"/>
  <c r="F25" i="25"/>
  <c r="L25" i="25" s="1"/>
  <c r="H25" i="25"/>
  <c r="N25" i="25" s="1"/>
  <c r="AA25" i="25" s="1"/>
  <c r="H24" i="25"/>
  <c r="N24" i="25" s="1"/>
  <c r="AA24" i="25" s="1"/>
  <c r="E24" i="25"/>
  <c r="F24" i="25"/>
  <c r="L24" i="25" s="1"/>
  <c r="I24" i="25"/>
  <c r="O24" i="25" s="1"/>
  <c r="AD24" i="25" s="1"/>
  <c r="G24" i="25"/>
  <c r="M24" i="25" s="1"/>
  <c r="X24" i="25" s="1"/>
  <c r="H28" i="25"/>
  <c r="N28" i="25" s="1"/>
  <c r="AA28" i="25" s="1"/>
  <c r="F28" i="25"/>
  <c r="L28" i="25" s="1"/>
  <c r="I28" i="25"/>
  <c r="O28" i="25" s="1"/>
  <c r="AD28" i="25" s="1"/>
  <c r="E28" i="25"/>
  <c r="G28" i="25"/>
  <c r="M28" i="25" s="1"/>
  <c r="X28" i="25" s="1"/>
  <c r="G18" i="25"/>
  <c r="M18" i="25" s="1"/>
  <c r="X18" i="25" s="1"/>
  <c r="F18" i="25"/>
  <c r="L18" i="25" s="1"/>
  <c r="U18" i="25" s="1"/>
  <c r="I18" i="25"/>
  <c r="O18" i="25" s="1"/>
  <c r="AD18" i="25" s="1"/>
  <c r="E18" i="25"/>
  <c r="K18" i="25" s="1"/>
  <c r="R18" i="25" s="1"/>
  <c r="G16" i="25"/>
  <c r="M16" i="25" s="1"/>
  <c r="X16" i="25" s="1"/>
  <c r="I16" i="25"/>
  <c r="O16" i="25" s="1"/>
  <c r="AD16" i="25" s="1"/>
  <c r="H16" i="25"/>
  <c r="N16" i="25" s="1"/>
  <c r="AA16" i="25" s="1"/>
  <c r="F22" i="25"/>
  <c r="L22" i="25" s="1"/>
  <c r="G22" i="25"/>
  <c r="M22" i="25" s="1"/>
  <c r="X22" i="25" s="1"/>
  <c r="E22" i="25"/>
  <c r="I22" i="25"/>
  <c r="O22" i="25" s="1"/>
  <c r="AD22" i="25" s="1"/>
  <c r="H22" i="25"/>
  <c r="N22" i="25" s="1"/>
  <c r="AA22" i="25" s="1"/>
  <c r="C23" i="25"/>
  <c r="S10" i="26"/>
  <c r="X10" i="26" s="1"/>
  <c r="Z10" i="26" s="1"/>
  <c r="H17" i="25"/>
  <c r="N17" i="25" s="1"/>
  <c r="AA17" i="25" s="1"/>
  <c r="G29" i="25"/>
  <c r="M29" i="25" s="1"/>
  <c r="X29" i="25" s="1"/>
  <c r="F29" i="25"/>
  <c r="L29" i="25" s="1"/>
  <c r="I13" i="26"/>
  <c r="I13" i="27"/>
  <c r="T12" i="1"/>
  <c r="AJ11" i="26"/>
  <c r="Z7" i="26"/>
  <c r="Z5" i="26"/>
  <c r="U15" i="26"/>
  <c r="AK15" i="26"/>
  <c r="U13" i="26"/>
  <c r="AK13" i="26"/>
  <c r="U9" i="26"/>
  <c r="AK9" i="26"/>
  <c r="U6" i="26"/>
  <c r="AK6" i="26"/>
  <c r="U8" i="26"/>
  <c r="AK8" i="26"/>
  <c r="Z15" i="26"/>
  <c r="AB15" i="26" s="1"/>
  <c r="S16" i="1" s="1"/>
  <c r="Z9" i="26"/>
  <c r="AB9" i="26" s="1"/>
  <c r="S10" i="1" s="1"/>
  <c r="Z6" i="26"/>
  <c r="AC6" i="26" s="1"/>
  <c r="F16" i="25"/>
  <c r="L16" i="25" s="1"/>
  <c r="E16" i="25"/>
  <c r="E17" i="25"/>
  <c r="G17" i="25"/>
  <c r="M17" i="25" s="1"/>
  <c r="X17" i="25" s="1"/>
  <c r="I17" i="25"/>
  <c r="F17" i="25"/>
  <c r="L17" i="25" s="1"/>
  <c r="Z4" i="26"/>
  <c r="AC4" i="26" s="1"/>
  <c r="AJ4" i="26" s="1"/>
  <c r="Z14" i="26"/>
  <c r="Z12" i="26"/>
  <c r="F21" i="25" l="1"/>
  <c r="L21" i="25" s="1"/>
  <c r="U21" i="25" s="1"/>
  <c r="E21" i="25"/>
  <c r="K21" i="25" s="1"/>
  <c r="R21" i="25" s="1"/>
  <c r="I21" i="25"/>
  <c r="O21" i="25" s="1"/>
  <c r="AD21" i="25" s="1"/>
  <c r="G21" i="25"/>
  <c r="M21" i="25" s="1"/>
  <c r="X21" i="25" s="1"/>
  <c r="H21" i="25"/>
  <c r="N21" i="25" s="1"/>
  <c r="AA21" i="25" s="1"/>
  <c r="H18" i="25"/>
  <c r="N18" i="25" s="1"/>
  <c r="AA18" i="25" s="1"/>
  <c r="G23" i="25"/>
  <c r="M23" i="25" s="1"/>
  <c r="X23" i="25" s="1"/>
  <c r="I23" i="25"/>
  <c r="O23" i="25" s="1"/>
  <c r="AD23" i="25" s="1"/>
  <c r="F23" i="25"/>
  <c r="L23" i="25" s="1"/>
  <c r="U23" i="25" s="1"/>
  <c r="E23" i="25"/>
  <c r="K23" i="25" s="1"/>
  <c r="R23" i="25" s="1"/>
  <c r="H23" i="25"/>
  <c r="N23" i="25" s="1"/>
  <c r="AA23" i="25" s="1"/>
  <c r="C26" i="25"/>
  <c r="S13" i="26"/>
  <c r="X13" i="26" s="1"/>
  <c r="Z13" i="26" s="1"/>
  <c r="U28" i="25"/>
  <c r="U16" i="25"/>
  <c r="U27" i="25"/>
  <c r="U29" i="25"/>
  <c r="U22" i="25"/>
  <c r="U19" i="25"/>
  <c r="U25" i="25"/>
  <c r="U17" i="25"/>
  <c r="U20" i="25"/>
  <c r="U24" i="25"/>
  <c r="O17" i="25"/>
  <c r="AD17" i="25" s="1"/>
  <c r="AK4" i="26"/>
  <c r="E27" i="26"/>
  <c r="G28" i="26" s="1"/>
  <c r="AC7" i="26"/>
  <c r="AB7" i="26"/>
  <c r="S8" i="1" s="1"/>
  <c r="AC5" i="26"/>
  <c r="AB5" i="26"/>
  <c r="S6" i="1" s="1"/>
  <c r="K28" i="25"/>
  <c r="R28" i="25" s="1"/>
  <c r="K29" i="25"/>
  <c r="R29" i="25" s="1"/>
  <c r="K17" i="25"/>
  <c r="R17" i="25" s="1"/>
  <c r="K27" i="25"/>
  <c r="R27" i="25" s="1"/>
  <c r="K25" i="25"/>
  <c r="R25" i="25" s="1"/>
  <c r="K22" i="25"/>
  <c r="R22" i="25" s="1"/>
  <c r="K20" i="25"/>
  <c r="R20" i="25" s="1"/>
  <c r="K16" i="25"/>
  <c r="R16" i="25" s="1"/>
  <c r="K24" i="25"/>
  <c r="R24" i="25" s="1"/>
  <c r="K19" i="25"/>
  <c r="R19" i="25" s="1"/>
  <c r="AC15" i="26"/>
  <c r="AJ15" i="26" s="1"/>
  <c r="AB6" i="26"/>
  <c r="S7" i="1" s="1"/>
  <c r="AC9" i="26"/>
  <c r="T10" i="1" s="1"/>
  <c r="AB8" i="26"/>
  <c r="S9" i="1" s="1"/>
  <c r="T7" i="1"/>
  <c r="AJ6" i="26"/>
  <c r="T9" i="1"/>
  <c r="AJ8" i="26"/>
  <c r="AB14" i="26"/>
  <c r="S15" i="1" s="1"/>
  <c r="AC14" i="26"/>
  <c r="U4" i="26"/>
  <c r="AB10" i="26"/>
  <c r="S11" i="1" s="1"/>
  <c r="AC10" i="26"/>
  <c r="AB12" i="26"/>
  <c r="S13" i="1" s="1"/>
  <c r="AC12" i="26"/>
  <c r="AB4" i="26"/>
  <c r="S5" i="1" s="1"/>
  <c r="AB13" i="26" l="1"/>
  <c r="S14" i="1" s="1"/>
  <c r="AC13" i="26"/>
  <c r="I26" i="25"/>
  <c r="O26" i="25" s="1"/>
  <c r="AD26" i="25" s="1"/>
  <c r="G26" i="25"/>
  <c r="M26" i="25" s="1"/>
  <c r="X26" i="25" s="1"/>
  <c r="E26" i="25"/>
  <c r="K26" i="25" s="1"/>
  <c r="R26" i="25" s="1"/>
  <c r="F26" i="25"/>
  <c r="L26" i="25" s="1"/>
  <c r="U26" i="25" s="1"/>
  <c r="H26" i="25"/>
  <c r="N26" i="25" s="1"/>
  <c r="AA26" i="25" s="1"/>
  <c r="T8" i="1"/>
  <c r="AJ7" i="26"/>
  <c r="T6" i="1"/>
  <c r="AJ5" i="26"/>
  <c r="T16" i="1"/>
  <c r="AJ9" i="26"/>
  <c r="E28" i="26"/>
  <c r="I23" i="26"/>
  <c r="I30" i="26"/>
  <c r="I27" i="26"/>
  <c r="I31" i="26"/>
  <c r="I24" i="26"/>
  <c r="I21" i="26"/>
  <c r="I22" i="26"/>
  <c r="I28" i="26"/>
  <c r="I25" i="26"/>
  <c r="I32" i="26"/>
  <c r="I29" i="26"/>
  <c r="I26" i="26"/>
  <c r="E30" i="26"/>
  <c r="E31" i="26" s="1"/>
  <c r="E32" i="26" s="1"/>
  <c r="AN21" i="26"/>
  <c r="AN22" i="26" s="1"/>
  <c r="T13" i="1"/>
  <c r="AJ12" i="26"/>
  <c r="AJ10" i="26"/>
  <c r="T11" i="1"/>
  <c r="AJ14" i="26"/>
  <c r="T15" i="1"/>
  <c r="G23" i="26"/>
  <c r="G31" i="26"/>
  <c r="G24" i="26"/>
  <c r="G26" i="26"/>
  <c r="G32" i="26"/>
  <c r="G25" i="26"/>
  <c r="G22" i="26"/>
  <c r="G27" i="26"/>
  <c r="G29" i="26"/>
  <c r="G21" i="26"/>
  <c r="G30" i="26"/>
  <c r="T5" i="1"/>
  <c r="T14" i="1" l="1"/>
  <c r="AJ13" i="26"/>
  <c r="AL17" i="26"/>
  <c r="AL16" i="26"/>
  <c r="H16" i="26"/>
  <c r="J16" i="26"/>
  <c r="Y16" i="26" s="1"/>
  <c r="H17" i="26"/>
  <c r="J17" i="26"/>
  <c r="Y17" i="26" s="1"/>
  <c r="H10" i="26"/>
  <c r="H6" i="26"/>
  <c r="H15" i="26"/>
  <c r="J6" i="26"/>
  <c r="Y6" i="26" s="1"/>
  <c r="AD6" i="26" s="1"/>
  <c r="J15" i="26"/>
  <c r="Y15" i="26" s="1"/>
  <c r="AD15" i="26" s="1"/>
  <c r="H7" i="26"/>
  <c r="J12" i="26"/>
  <c r="Y12" i="26" s="1"/>
  <c r="AD12" i="26" s="1"/>
  <c r="J11" i="26"/>
  <c r="Y11" i="26" s="1"/>
  <c r="J5" i="26"/>
  <c r="Y5" i="26" s="1"/>
  <c r="H4" i="26"/>
  <c r="H12" i="26"/>
  <c r="H13" i="26"/>
  <c r="H14" i="26"/>
  <c r="J13" i="26"/>
  <c r="J9" i="26"/>
  <c r="Y9" i="26" s="1"/>
  <c r="AD9" i="26" s="1"/>
  <c r="J8" i="26"/>
  <c r="J14" i="26"/>
  <c r="Y14" i="26" s="1"/>
  <c r="AD14" i="26" s="1"/>
  <c r="H9" i="26"/>
  <c r="J10" i="26"/>
  <c r="Y10" i="26" s="1"/>
  <c r="AD10" i="26" s="1"/>
  <c r="H8" i="26"/>
  <c r="H11" i="26"/>
  <c r="J7" i="26"/>
  <c r="Y7" i="26" s="1"/>
  <c r="H5" i="26"/>
  <c r="AL11" i="26"/>
  <c r="AL10" i="26"/>
  <c r="AL9" i="26"/>
  <c r="AL8" i="26"/>
  <c r="AL7" i="26"/>
  <c r="AL4" i="26"/>
  <c r="AL6" i="26"/>
  <c r="AL12" i="26"/>
  <c r="AL5" i="26"/>
  <c r="AL15" i="26"/>
  <c r="AL13" i="26"/>
  <c r="AL14" i="26"/>
  <c r="AN23" i="26"/>
  <c r="J4" i="26"/>
  <c r="Y4" i="26" s="1"/>
  <c r="AD4" i="26" s="1"/>
  <c r="Y13" i="26" l="1"/>
  <c r="W13" i="26"/>
  <c r="Y8" i="26"/>
  <c r="AA16" i="26"/>
  <c r="AD16" i="26"/>
  <c r="AE16" i="26" s="1"/>
  <c r="AF16" i="26" s="1"/>
  <c r="AG16" i="26" s="1"/>
  <c r="AI16" i="26" s="1"/>
  <c r="AM16" i="26"/>
  <c r="AM17" i="26"/>
  <c r="AA17" i="26"/>
  <c r="AD17" i="26"/>
  <c r="AE17" i="26" s="1"/>
  <c r="AF17" i="26" s="1"/>
  <c r="AG17" i="26" s="1"/>
  <c r="AI17" i="26" s="1"/>
  <c r="AM11" i="26"/>
  <c r="AO11" i="26" s="1"/>
  <c r="AM7" i="26"/>
  <c r="AO7" i="26" s="1"/>
  <c r="AM5" i="26"/>
  <c r="U6" i="1" s="1"/>
  <c r="AD11" i="26"/>
  <c r="AA11" i="26"/>
  <c r="AD7" i="26"/>
  <c r="AA5" i="26"/>
  <c r="AD5" i="26"/>
  <c r="AA7" i="26"/>
  <c r="AA12" i="26"/>
  <c r="AA6" i="26"/>
  <c r="AA4" i="26"/>
  <c r="AM4" i="26"/>
  <c r="AA15" i="26"/>
  <c r="AM9" i="26"/>
  <c r="AM6" i="26"/>
  <c r="AM14" i="26"/>
  <c r="AM15" i="26"/>
  <c r="AM12" i="26"/>
  <c r="AA10" i="26"/>
  <c r="AM10" i="26"/>
  <c r="AA14" i="26"/>
  <c r="AA9" i="26"/>
  <c r="AD13" i="26" l="1"/>
  <c r="AM13" i="26"/>
  <c r="AA13" i="26"/>
  <c r="AD8" i="26"/>
  <c r="AM8" i="26"/>
  <c r="AA8" i="26"/>
  <c r="E29" i="26"/>
  <c r="AO17" i="26"/>
  <c r="U18" i="1"/>
  <c r="AO16" i="26"/>
  <c r="U17" i="1"/>
  <c r="S17" i="27"/>
  <c r="X17" i="27" s="1"/>
  <c r="U8" i="1"/>
  <c r="U12" i="1"/>
  <c r="S16" i="27"/>
  <c r="X16" i="27" s="1"/>
  <c r="AO5" i="26"/>
  <c r="AE15" i="26"/>
  <c r="AF15" i="26" s="1"/>
  <c r="AG15" i="26" s="1"/>
  <c r="AO9" i="26"/>
  <c r="U10" i="1"/>
  <c r="U5" i="1"/>
  <c r="AO13" i="26"/>
  <c r="U14" i="1"/>
  <c r="AO14" i="26"/>
  <c r="U15" i="1"/>
  <c r="AO10" i="26"/>
  <c r="U11" i="1"/>
  <c r="AO6" i="26"/>
  <c r="U7" i="1"/>
  <c r="AO12" i="26"/>
  <c r="U13" i="1"/>
  <c r="AO15" i="26"/>
  <c r="U16" i="1"/>
  <c r="AE4" i="26"/>
  <c r="AF4" i="26" s="1"/>
  <c r="AG4" i="26" s="1"/>
  <c r="AI4" i="26" s="1"/>
  <c r="AO8" i="26" l="1"/>
  <c r="U9" i="1"/>
  <c r="AE9" i="26"/>
  <c r="AF9" i="26" s="1"/>
  <c r="AG9" i="26" s="1"/>
  <c r="AI9" i="26" s="1"/>
  <c r="AE11" i="26"/>
  <c r="AF11" i="26" s="1"/>
  <c r="AG11" i="26" s="1"/>
  <c r="AI11" i="26" s="1"/>
  <c r="AE7" i="26"/>
  <c r="AF7" i="26" s="1"/>
  <c r="AG7" i="26" s="1"/>
  <c r="AI7" i="26" s="1"/>
  <c r="S7" i="27" s="1"/>
  <c r="X7" i="27" s="1"/>
  <c r="AE5" i="26"/>
  <c r="AF5" i="26" s="1"/>
  <c r="AG5" i="26" s="1"/>
  <c r="AI5" i="26" s="1"/>
  <c r="AE10" i="26"/>
  <c r="AF10" i="26" s="1"/>
  <c r="AG10" i="26" s="1"/>
  <c r="AI10" i="26" s="1"/>
  <c r="S10" i="27" s="1"/>
  <c r="X10" i="27" s="1"/>
  <c r="AE8" i="26"/>
  <c r="AF8" i="26" s="1"/>
  <c r="AG8" i="26" s="1"/>
  <c r="AI8" i="26" s="1"/>
  <c r="AE13" i="26"/>
  <c r="AF13" i="26" s="1"/>
  <c r="AG13" i="26" s="1"/>
  <c r="AE14" i="26"/>
  <c r="AF14" i="26" s="1"/>
  <c r="AG14" i="26" s="1"/>
  <c r="AI14" i="26" s="1"/>
  <c r="AI15" i="26"/>
  <c r="AE6" i="26"/>
  <c r="AF6" i="26" s="1"/>
  <c r="AG6" i="26" s="1"/>
  <c r="AI6" i="26" s="1"/>
  <c r="AE12" i="26"/>
  <c r="AF12" i="26" s="1"/>
  <c r="AG12" i="26" s="1"/>
  <c r="AI12" i="26" s="1"/>
  <c r="AI13" i="26" l="1"/>
  <c r="AH13" i="26"/>
  <c r="G13" i="27" s="1"/>
  <c r="AH13" i="27" s="1"/>
  <c r="G13" i="28" s="1"/>
  <c r="U17" i="27"/>
  <c r="AK17" i="27"/>
  <c r="U16" i="27"/>
  <c r="AK16" i="27"/>
  <c r="S15" i="27"/>
  <c r="X15" i="27" s="1"/>
  <c r="S4" i="27"/>
  <c r="X4" i="27" s="1"/>
  <c r="S12" i="27"/>
  <c r="X12" i="27" s="1"/>
  <c r="S6" i="27"/>
  <c r="X6" i="27" s="1"/>
  <c r="S13" i="27"/>
  <c r="X13" i="27" s="1"/>
  <c r="S8" i="27"/>
  <c r="X8" i="27" s="1"/>
  <c r="S14" i="27"/>
  <c r="X14" i="27" s="1"/>
  <c r="S9" i="27"/>
  <c r="X9" i="27" s="1"/>
  <c r="U7" i="27"/>
  <c r="AK7" i="27"/>
  <c r="Z11" i="27" l="1"/>
  <c r="Z10" i="27"/>
  <c r="U10" i="27"/>
  <c r="AK10" i="27"/>
  <c r="Z16" i="27"/>
  <c r="Z17" i="27"/>
  <c r="Z7" i="27"/>
  <c r="Z9" i="27"/>
  <c r="Z13" i="27"/>
  <c r="AK4" i="27"/>
  <c r="Z15" i="27"/>
  <c r="Z4" i="27"/>
  <c r="Z6" i="27"/>
  <c r="Z14" i="27"/>
  <c r="Z12" i="27"/>
  <c r="Z8" i="27"/>
  <c r="U12" i="27"/>
  <c r="AK12" i="27"/>
  <c r="U14" i="27"/>
  <c r="AK14" i="27"/>
  <c r="U6" i="27"/>
  <c r="AK6" i="27"/>
  <c r="U8" i="27"/>
  <c r="AK8" i="27"/>
  <c r="U9" i="27"/>
  <c r="AK9" i="27"/>
  <c r="U15" i="27"/>
  <c r="AK15" i="27"/>
  <c r="U13" i="27"/>
  <c r="E27" i="27" l="1"/>
  <c r="U4" i="27"/>
  <c r="AN21" i="27" l="1"/>
  <c r="AN22" i="27" s="1"/>
  <c r="G26" i="27"/>
  <c r="G21" i="27"/>
  <c r="G32" i="27"/>
  <c r="G25" i="27"/>
  <c r="G22" i="27"/>
  <c r="E30" i="27"/>
  <c r="E31" i="27" s="1"/>
  <c r="G27" i="27"/>
  <c r="G28" i="27"/>
  <c r="G23" i="27"/>
  <c r="G24" i="27"/>
  <c r="I32" i="27"/>
  <c r="G30" i="27"/>
  <c r="I31" i="27"/>
  <c r="G29" i="27"/>
  <c r="G31" i="27"/>
  <c r="I30" i="27"/>
  <c r="E28" i="27"/>
  <c r="AL16" i="27" l="1"/>
  <c r="AL17" i="27"/>
  <c r="AL4" i="27"/>
  <c r="AL6" i="27"/>
  <c r="AL5" i="27"/>
  <c r="AL7" i="27"/>
  <c r="AL8" i="27"/>
  <c r="AL15" i="27"/>
  <c r="AL14" i="27"/>
  <c r="AL13" i="27"/>
  <c r="AL12" i="27"/>
  <c r="AL9" i="27"/>
  <c r="AL11" i="27"/>
  <c r="AL10" i="27"/>
  <c r="AN23" i="27"/>
  <c r="H12" i="27"/>
  <c r="H6" i="27"/>
  <c r="E32" i="27"/>
  <c r="J4" i="27"/>
  <c r="Y4" i="27" s="1"/>
  <c r="AA4" i="27" s="1"/>
  <c r="AC4" i="27" s="1"/>
  <c r="J9" i="27"/>
  <c r="Y9" i="27" s="1"/>
  <c r="H14" i="27"/>
  <c r="J7" i="27"/>
  <c r="Y7" i="27" s="1"/>
  <c r="H4" i="27"/>
  <c r="J5" i="27"/>
  <c r="Y5" i="27" s="1"/>
  <c r="AM5" i="27" s="1"/>
  <c r="AN5" i="27" s="1"/>
  <c r="AO5" i="27" s="1"/>
  <c r="H5" i="27"/>
  <c r="J14" i="27"/>
  <c r="Y14" i="27" s="1"/>
  <c r="AM14" i="27" s="1"/>
  <c r="AN14" i="27" s="1"/>
  <c r="J13" i="27"/>
  <c r="Y13" i="27" s="1"/>
  <c r="H10" i="27"/>
  <c r="H11" i="27"/>
  <c r="H15" i="27"/>
  <c r="J6" i="27"/>
  <c r="Y6" i="27" s="1"/>
  <c r="AM6" i="27" s="1"/>
  <c r="AN6" i="27" s="1"/>
  <c r="H7" i="27"/>
  <c r="H9" i="27"/>
  <c r="J11" i="27"/>
  <c r="Y11" i="27" s="1"/>
  <c r="AD11" i="27" s="1"/>
  <c r="H13" i="27"/>
  <c r="J8" i="27"/>
  <c r="Y8" i="27" s="1"/>
  <c r="J12" i="27"/>
  <c r="Y12" i="27" s="1"/>
  <c r="H17" i="27"/>
  <c r="J17" i="27"/>
  <c r="Y17" i="27" s="1"/>
  <c r="AM17" i="27" s="1"/>
  <c r="AN17" i="27" s="1"/>
  <c r="H16" i="27"/>
  <c r="J16" i="27"/>
  <c r="Y16" i="27" s="1"/>
  <c r="J15" i="27"/>
  <c r="Y15" i="27" s="1"/>
  <c r="AD15" i="27" s="1"/>
  <c r="J10" i="27"/>
  <c r="Y10" i="27" s="1"/>
  <c r="H8" i="27"/>
  <c r="AM9" i="27" l="1"/>
  <c r="AN9" i="27" s="1"/>
  <c r="AM7" i="27"/>
  <c r="AN7" i="27" s="1"/>
  <c r="AM8" i="27"/>
  <c r="AN8" i="27" s="1"/>
  <c r="AM12" i="27"/>
  <c r="AN12" i="27" s="1"/>
  <c r="AM16" i="27"/>
  <c r="AN16" i="27" s="1"/>
  <c r="AM10" i="27"/>
  <c r="AN10" i="27" s="1"/>
  <c r="AA13" i="27"/>
  <c r="AD17" i="27"/>
  <c r="AA9" i="27"/>
  <c r="AD9" i="27"/>
  <c r="AD4" i="27"/>
  <c r="AA7" i="27"/>
  <c r="AD7" i="27"/>
  <c r="AA12" i="27"/>
  <c r="AB12" i="27" s="1"/>
  <c r="W13" i="1" s="1"/>
  <c r="AD12" i="27"/>
  <c r="AM4" i="27"/>
  <c r="AN4" i="27" s="1"/>
  <c r="AO4" i="27" s="1"/>
  <c r="Y6" i="1"/>
  <c r="AD6" i="27"/>
  <c r="AD16" i="27"/>
  <c r="AA16" i="27"/>
  <c r="AC16" i="27" s="1"/>
  <c r="AJ16" i="27" s="1"/>
  <c r="AD10" i="27"/>
  <c r="AA15" i="27"/>
  <c r="AD13" i="27"/>
  <c r="AD5" i="27"/>
  <c r="AE5" i="27" s="1"/>
  <c r="AF5" i="27" s="1"/>
  <c r="AG5" i="27" s="1"/>
  <c r="AI5" i="27" s="1"/>
  <c r="I5" i="28" s="1"/>
  <c r="AM15" i="27"/>
  <c r="AN15" i="27" s="1"/>
  <c r="AO15" i="27" s="1"/>
  <c r="AA5" i="27"/>
  <c r="AC5" i="27" s="1"/>
  <c r="AM13" i="27"/>
  <c r="AN13" i="27" s="1"/>
  <c r="AO13" i="27" s="1"/>
  <c r="AA6" i="27"/>
  <c r="AC6" i="27" s="1"/>
  <c r="AA17" i="27"/>
  <c r="AC17" i="27" s="1"/>
  <c r="X18" i="1" s="1"/>
  <c r="AA10" i="27"/>
  <c r="AB10" i="27" s="1"/>
  <c r="W11" i="1" s="1"/>
  <c r="AA14" i="27"/>
  <c r="AB14" i="27" s="1"/>
  <c r="W15" i="1" s="1"/>
  <c r="AD14" i="27"/>
  <c r="AM11" i="27"/>
  <c r="AN11" i="27" s="1"/>
  <c r="AA11" i="27"/>
  <c r="AB11" i="27" s="1"/>
  <c r="W12" i="1" s="1"/>
  <c r="AD8" i="27"/>
  <c r="AA8" i="27"/>
  <c r="AC8" i="27" s="1"/>
  <c r="AO17" i="27"/>
  <c r="Y18" i="1"/>
  <c r="AO14" i="27"/>
  <c r="Y15" i="1"/>
  <c r="AO6" i="27"/>
  <c r="Y7" i="1"/>
  <c r="AB13" i="27"/>
  <c r="W14" i="1" s="1"/>
  <c r="AC13" i="27"/>
  <c r="AB4" i="27"/>
  <c r="S5" i="28" l="1"/>
  <c r="X5" i="28" s="1"/>
  <c r="U5" i="28"/>
  <c r="AO9" i="27"/>
  <c r="Y10" i="1"/>
  <c r="AO7" i="27"/>
  <c r="Y8" i="1"/>
  <c r="AO8" i="27"/>
  <c r="Y9" i="1"/>
  <c r="AO12" i="27"/>
  <c r="Y13" i="1"/>
  <c r="AO16" i="27"/>
  <c r="Y17" i="1"/>
  <c r="Y11" i="1"/>
  <c r="AO10" i="27"/>
  <c r="E29" i="27"/>
  <c r="AB15" i="27"/>
  <c r="W16" i="1" s="1"/>
  <c r="AC15" i="27"/>
  <c r="AB9" i="27"/>
  <c r="W10" i="1" s="1"/>
  <c r="AC9" i="27"/>
  <c r="AB7" i="27"/>
  <c r="W8" i="1" s="1"/>
  <c r="AC7" i="27"/>
  <c r="Y5" i="1"/>
  <c r="AC12" i="27"/>
  <c r="AJ12" i="27" s="1"/>
  <c r="AC14" i="27"/>
  <c r="X15" i="1" s="1"/>
  <c r="AB17" i="27"/>
  <c r="W18" i="1" s="1"/>
  <c r="AE14" i="27"/>
  <c r="AF14" i="27" s="1"/>
  <c r="AG14" i="27" s="1"/>
  <c r="AI14" i="27" s="1"/>
  <c r="I14" i="28" s="1"/>
  <c r="X17" i="1"/>
  <c r="AJ17" i="27"/>
  <c r="AC11" i="27"/>
  <c r="AJ11" i="27" s="1"/>
  <c r="AJ11" i="28" s="1"/>
  <c r="Y14" i="1"/>
  <c r="AB8" i="27"/>
  <c r="W9" i="1" s="1"/>
  <c r="AC10" i="27"/>
  <c r="AJ10" i="27" s="1"/>
  <c r="AB6" i="27"/>
  <c r="W7" i="1" s="1"/>
  <c r="AO11" i="27"/>
  <c r="Y12" i="1"/>
  <c r="AB16" i="27"/>
  <c r="W17" i="1" s="1"/>
  <c r="AB5" i="27"/>
  <c r="W6" i="1" s="1"/>
  <c r="Y16" i="1"/>
  <c r="AE17" i="27"/>
  <c r="AF17" i="27" s="1"/>
  <c r="AG17" i="27" s="1"/>
  <c r="AI17" i="27" s="1"/>
  <c r="AE6" i="27"/>
  <c r="AF6" i="27" s="1"/>
  <c r="AG6" i="27" s="1"/>
  <c r="AI6" i="27" s="1"/>
  <c r="AE4" i="27"/>
  <c r="AF4" i="27" s="1"/>
  <c r="AG4" i="27" s="1"/>
  <c r="AI4" i="27" s="1"/>
  <c r="AE15" i="27"/>
  <c r="AF15" i="27" s="1"/>
  <c r="AG15" i="27" s="1"/>
  <c r="AI15" i="27" s="1"/>
  <c r="X7" i="1"/>
  <c r="AJ6" i="27"/>
  <c r="X6" i="1"/>
  <c r="AJ5" i="27"/>
  <c r="AJ13" i="27"/>
  <c r="X14" i="1"/>
  <c r="X5" i="1"/>
  <c r="AJ4" i="27"/>
  <c r="W5" i="1"/>
  <c r="AJ8" i="27"/>
  <c r="X9" i="1"/>
  <c r="AE8" i="27" l="1"/>
  <c r="AF8" i="27" s="1"/>
  <c r="AG8" i="27" s="1"/>
  <c r="AI8" i="27" s="1"/>
  <c r="I8" i="28" s="1"/>
  <c r="AE7" i="27"/>
  <c r="AF7" i="27" s="1"/>
  <c r="AG7" i="27" s="1"/>
  <c r="AI7" i="27" s="1"/>
  <c r="I7" i="28" s="1"/>
  <c r="AE12" i="27"/>
  <c r="AF12" i="27" s="1"/>
  <c r="AG12" i="27" s="1"/>
  <c r="AI12" i="27" s="1"/>
  <c r="I12" i="28" s="1"/>
  <c r="AE13" i="27"/>
  <c r="AF13" i="27" s="1"/>
  <c r="AG13" i="27" s="1"/>
  <c r="AI13" i="27" s="1"/>
  <c r="I13" i="28" s="1"/>
  <c r="AE10" i="27"/>
  <c r="AF10" i="27" s="1"/>
  <c r="AG10" i="27" s="1"/>
  <c r="AI10" i="27" s="1"/>
  <c r="I10" i="28" s="1"/>
  <c r="S10" i="28" s="1"/>
  <c r="X10" i="28" s="1"/>
  <c r="AE16" i="27"/>
  <c r="AF16" i="27" s="1"/>
  <c r="AG16" i="27" s="1"/>
  <c r="AI16" i="27" s="1"/>
  <c r="I16" i="28" s="1"/>
  <c r="AE9" i="27"/>
  <c r="AF9" i="27" s="1"/>
  <c r="AG9" i="27" s="1"/>
  <c r="AI9" i="27" s="1"/>
  <c r="I9" i="28" s="1"/>
  <c r="AE11" i="27"/>
  <c r="AF11" i="27" s="1"/>
  <c r="AG11" i="27" s="1"/>
  <c r="AI11" i="27" s="1"/>
  <c r="I11" i="28" s="1"/>
  <c r="I29" i="27"/>
  <c r="I28" i="27"/>
  <c r="I27" i="27"/>
  <c r="I26" i="27"/>
  <c r="I25" i="27"/>
  <c r="I23" i="27"/>
  <c r="I22" i="27"/>
  <c r="I21" i="27"/>
  <c r="X10" i="1"/>
  <c r="AJ9" i="27"/>
  <c r="X16" i="1"/>
  <c r="AJ15" i="27"/>
  <c r="AJ7" i="27"/>
  <c r="X8" i="1"/>
  <c r="X12" i="1"/>
  <c r="X13" i="1"/>
  <c r="AJ14" i="27"/>
  <c r="S17" i="28"/>
  <c r="X17" i="28" s="1"/>
  <c r="I17" i="28"/>
  <c r="X11" i="1"/>
  <c r="AK10" i="28"/>
  <c r="S16" i="28"/>
  <c r="X16" i="28" s="1"/>
  <c r="I6" i="28"/>
  <c r="I4" i="28"/>
  <c r="I15" i="28"/>
  <c r="S14" i="28"/>
  <c r="X14" i="28" s="1"/>
  <c r="U10" i="28" l="1"/>
  <c r="U17" i="28"/>
  <c r="AK17" i="28"/>
  <c r="S6" i="28"/>
  <c r="X6" i="28" s="1"/>
  <c r="S15" i="28"/>
  <c r="X15" i="28" s="1"/>
  <c r="S9" i="28"/>
  <c r="X9" i="28" s="1"/>
  <c r="S8" i="28"/>
  <c r="X8" i="28" s="1"/>
  <c r="S7" i="28"/>
  <c r="X7" i="28" s="1"/>
  <c r="S12" i="28"/>
  <c r="X12" i="28" s="1"/>
  <c r="S4" i="28"/>
  <c r="X4" i="28" s="1"/>
  <c r="S13" i="28"/>
  <c r="U16" i="28" l="1"/>
  <c r="AK16" i="28"/>
  <c r="X13" i="28"/>
  <c r="U6" i="28"/>
  <c r="AK6" i="28"/>
  <c r="U12" i="28"/>
  <c r="AK12" i="28"/>
  <c r="U7" i="28"/>
  <c r="AK7" i="28"/>
  <c r="U9" i="28"/>
  <c r="AK9" i="28"/>
  <c r="AK4" i="28"/>
  <c r="Z14" i="28"/>
  <c r="AC14" i="28" s="1"/>
  <c r="U8" i="28"/>
  <c r="AK8" i="28"/>
  <c r="U14" i="28"/>
  <c r="AK14" i="28"/>
  <c r="Z9" i="28" l="1"/>
  <c r="Z4" i="28"/>
  <c r="Z5" i="28"/>
  <c r="Z10" i="28"/>
  <c r="Z17" i="28"/>
  <c r="AC17" i="28" s="1"/>
  <c r="Z16" i="28"/>
  <c r="AC16" i="28" s="1"/>
  <c r="U4" i="28"/>
  <c r="U13" i="28"/>
  <c r="Z13" i="28"/>
  <c r="AB13" i="28" s="1"/>
  <c r="AA14" i="1" s="1"/>
  <c r="Z8" i="28"/>
  <c r="AB8" i="28" s="1"/>
  <c r="AA9" i="1" s="1"/>
  <c r="Z12" i="28"/>
  <c r="AB12" i="28" s="1"/>
  <c r="AA13" i="1" s="1"/>
  <c r="Z7" i="28"/>
  <c r="AC7" i="28" s="1"/>
  <c r="AB8" i="1" s="1"/>
  <c r="Z6" i="28"/>
  <c r="AC6" i="28" s="1"/>
  <c r="AJ6" i="28" s="1"/>
  <c r="Z15" i="28"/>
  <c r="AC15" i="28" s="1"/>
  <c r="U15" i="28"/>
  <c r="AK15" i="28"/>
  <c r="AB14" i="28"/>
  <c r="AA15" i="1" s="1"/>
  <c r="AJ14" i="28"/>
  <c r="AB15" i="1"/>
  <c r="AC9" i="28" l="1"/>
  <c r="AB9" i="28"/>
  <c r="AA10" i="1" s="1"/>
  <c r="AC5" i="28"/>
  <c r="AB5" i="28"/>
  <c r="AA6" i="1" s="1"/>
  <c r="AC4" i="28"/>
  <c r="AB4" i="28"/>
  <c r="AA5" i="1" s="1"/>
  <c r="AB10" i="28"/>
  <c r="AA11" i="1" s="1"/>
  <c r="AC10" i="28"/>
  <c r="AJ16" i="28"/>
  <c r="AB17" i="1"/>
  <c r="AJ17" i="28"/>
  <c r="AB18" i="1"/>
  <c r="AB17" i="28"/>
  <c r="AA18" i="1" s="1"/>
  <c r="AB16" i="28"/>
  <c r="AA17" i="1" s="1"/>
  <c r="E27" i="28"/>
  <c r="G27" i="28" s="1"/>
  <c r="AK13" i="28"/>
  <c r="AC12" i="28"/>
  <c r="AB13" i="1" s="1"/>
  <c r="AC13" i="28"/>
  <c r="AB14" i="1" s="1"/>
  <c r="AC8" i="28"/>
  <c r="AB9" i="1" s="1"/>
  <c r="AB15" i="28"/>
  <c r="AA16" i="1" s="1"/>
  <c r="AB7" i="1"/>
  <c r="AJ7" i="28"/>
  <c r="AB6" i="28"/>
  <c r="AA7" i="1" s="1"/>
  <c r="AB7" i="28"/>
  <c r="AA8" i="1" s="1"/>
  <c r="AB16" i="1"/>
  <c r="AJ15" i="28"/>
  <c r="AB10" i="1" l="1"/>
  <c r="AJ9" i="28"/>
  <c r="AB5" i="1"/>
  <c r="AJ4" i="28"/>
  <c r="AB6" i="1"/>
  <c r="AJ5" i="28"/>
  <c r="AB11" i="1"/>
  <c r="AJ10" i="28"/>
  <c r="G25" i="28"/>
  <c r="G32" i="28"/>
  <c r="G23" i="28"/>
  <c r="E28" i="28"/>
  <c r="G24" i="28"/>
  <c r="G30" i="28"/>
  <c r="E30" i="28"/>
  <c r="G31" i="28"/>
  <c r="I32" i="28"/>
  <c r="G29" i="28"/>
  <c r="G21" i="28"/>
  <c r="G26" i="28"/>
  <c r="G28" i="28"/>
  <c r="AN21" i="28"/>
  <c r="AN22" i="28" s="1"/>
  <c r="AL11" i="28" s="1"/>
  <c r="G22" i="28"/>
  <c r="I31" i="28"/>
  <c r="I30" i="28"/>
  <c r="AJ13" i="28"/>
  <c r="AJ12" i="28"/>
  <c r="AJ8" i="28"/>
  <c r="I25" i="28"/>
  <c r="I27" i="28"/>
  <c r="I24" i="28"/>
  <c r="I21" i="28"/>
  <c r="I28" i="28"/>
  <c r="I22" i="28"/>
  <c r="I26" i="28"/>
  <c r="I23" i="28"/>
  <c r="I29" i="28"/>
  <c r="E31" i="28" l="1"/>
  <c r="AL17" i="28"/>
  <c r="AL16" i="28"/>
  <c r="AL15" i="28"/>
  <c r="AN23" i="28"/>
  <c r="AL6" i="28"/>
  <c r="AL5" i="28"/>
  <c r="AL7" i="28"/>
  <c r="AL4" i="28"/>
  <c r="AL8" i="28"/>
  <c r="AL9" i="28"/>
  <c r="AL10" i="28"/>
  <c r="AL12" i="28"/>
  <c r="AL13" i="28"/>
  <c r="AL14" i="28"/>
  <c r="H8" i="28" l="1"/>
  <c r="H6" i="28"/>
  <c r="H14" i="28"/>
  <c r="J10" i="28"/>
  <c r="Y10" i="28" s="1"/>
  <c r="H13" i="28"/>
  <c r="H12" i="28"/>
  <c r="J7" i="28"/>
  <c r="Y7" i="28" s="1"/>
  <c r="J16" i="28"/>
  <c r="Y16" i="28" s="1"/>
  <c r="J14" i="28"/>
  <c r="Y14" i="28" s="1"/>
  <c r="J4" i="28"/>
  <c r="Y4" i="28" s="1"/>
  <c r="J17" i="28"/>
  <c r="Y17" i="28" s="1"/>
  <c r="AM17" i="28" s="1"/>
  <c r="AN17" i="28" s="1"/>
  <c r="AO17" i="28" s="1"/>
  <c r="H5" i="28"/>
  <c r="H17" i="28"/>
  <c r="J15" i="28"/>
  <c r="Y15" i="28" s="1"/>
  <c r="AM15" i="28" s="1"/>
  <c r="AN15" i="28" s="1"/>
  <c r="AC16" i="1" s="1"/>
  <c r="J13" i="28"/>
  <c r="Y13" i="28" s="1"/>
  <c r="J8" i="28"/>
  <c r="Y8" i="28" s="1"/>
  <c r="AD8" i="28" s="1"/>
  <c r="J9" i="28"/>
  <c r="Y9" i="28" s="1"/>
  <c r="E32" i="28"/>
  <c r="H7" i="28"/>
  <c r="H4" i="28"/>
  <c r="H10" i="28"/>
  <c r="H15" i="28"/>
  <c r="J11" i="28"/>
  <c r="Y11" i="28" s="1"/>
  <c r="J5" i="28"/>
  <c r="Y5" i="28" s="1"/>
  <c r="J12" i="28"/>
  <c r="Y12" i="28" s="1"/>
  <c r="H9" i="28"/>
  <c r="H16" i="28"/>
  <c r="J6" i="28"/>
  <c r="Y6" i="28" s="1"/>
  <c r="AD6" i="28" s="1"/>
  <c r="H11" i="28"/>
  <c r="AA5" i="28" l="1"/>
  <c r="AA13" i="28"/>
  <c r="AD10" i="28"/>
  <c r="AM10" i="28"/>
  <c r="AN10" i="28" s="1"/>
  <c r="AM4" i="28"/>
  <c r="AN4" i="28" s="1"/>
  <c r="AC5" i="1" s="1"/>
  <c r="AA4" i="28"/>
  <c r="AD4" i="28"/>
  <c r="AD7" i="28"/>
  <c r="AM7" i="28"/>
  <c r="AN7" i="28" s="1"/>
  <c r="AA7" i="28"/>
  <c r="AD16" i="28"/>
  <c r="AM16" i="28"/>
  <c r="AN16" i="28" s="1"/>
  <c r="AA16" i="28"/>
  <c r="AD14" i="28"/>
  <c r="AE14" i="28" s="1"/>
  <c r="AF14" i="28" s="1"/>
  <c r="AG14" i="28" s="1"/>
  <c r="AI14" i="28" s="1"/>
  <c r="AA14" i="28"/>
  <c r="AM14" i="28"/>
  <c r="AN14" i="28" s="1"/>
  <c r="AD17" i="28"/>
  <c r="AA17" i="28"/>
  <c r="AD15" i="28"/>
  <c r="AA15" i="28"/>
  <c r="AD9" i="28"/>
  <c r="AM9" i="28"/>
  <c r="AN9" i="28" s="1"/>
  <c r="AD12" i="28"/>
  <c r="AA12" i="28"/>
  <c r="AA8" i="28"/>
  <c r="AD13" i="28"/>
  <c r="AM12" i="28"/>
  <c r="AN12" i="28" s="1"/>
  <c r="AA9" i="28"/>
  <c r="AM8" i="28"/>
  <c r="AN8" i="28" s="1"/>
  <c r="AO8" i="28" s="1"/>
  <c r="AM6" i="28"/>
  <c r="AN6" i="28" s="1"/>
  <c r="AC7" i="1" s="1"/>
  <c r="AA6" i="28"/>
  <c r="AM5" i="28"/>
  <c r="AN5" i="28" s="1"/>
  <c r="AD5" i="28"/>
  <c r="AM13" i="28"/>
  <c r="AN13" i="28" s="1"/>
  <c r="AO13" i="28" s="1"/>
  <c r="AA11" i="28"/>
  <c r="AM11" i="28"/>
  <c r="AN11" i="28" s="1"/>
  <c r="AD11" i="28"/>
  <c r="AE11" i="28" s="1"/>
  <c r="AF11" i="28" s="1"/>
  <c r="AG11" i="28" s="1"/>
  <c r="AI11" i="28" s="1"/>
  <c r="I11" i="29" s="1"/>
  <c r="AA10" i="28"/>
  <c r="AC18" i="1"/>
  <c r="AO15" i="28"/>
  <c r="S7" i="29"/>
  <c r="X7" i="29" s="1"/>
  <c r="U7" i="29" s="1"/>
  <c r="S5" i="29"/>
  <c r="X5" i="29" s="1"/>
  <c r="AK5" i="29" s="1"/>
  <c r="S6" i="29"/>
  <c r="X6" i="29" s="1"/>
  <c r="U6" i="29" s="1"/>
  <c r="AO10" i="28" l="1"/>
  <c r="AC11" i="1"/>
  <c r="AO7" i="28"/>
  <c r="AC8" i="1"/>
  <c r="AO16" i="28"/>
  <c r="AC17" i="1"/>
  <c r="AO14" i="28"/>
  <c r="AC15" i="1"/>
  <c r="AO9" i="28"/>
  <c r="AC10" i="1"/>
  <c r="AO12" i="28"/>
  <c r="AC13" i="1"/>
  <c r="E29" i="28"/>
  <c r="AO6" i="28"/>
  <c r="AC14" i="1"/>
  <c r="AC9" i="1"/>
  <c r="AO5" i="28"/>
  <c r="AC6" i="1"/>
  <c r="AO11" i="28"/>
  <c r="AC12" i="1"/>
  <c r="AK10" i="29"/>
  <c r="AE16" i="28"/>
  <c r="AF16" i="28" s="1"/>
  <c r="AG16" i="28" s="1"/>
  <c r="AI16" i="28" s="1"/>
  <c r="I16" i="29" s="1"/>
  <c r="AE17" i="28"/>
  <c r="AF17" i="28" s="1"/>
  <c r="AG17" i="28" s="1"/>
  <c r="AI17" i="28" s="1"/>
  <c r="I17" i="29" s="1"/>
  <c r="AE6" i="28"/>
  <c r="AF6" i="28" s="1"/>
  <c r="AG6" i="28" s="1"/>
  <c r="AI6" i="28" s="1"/>
  <c r="I6" i="29" s="1"/>
  <c r="AE12" i="28"/>
  <c r="AF12" i="28" s="1"/>
  <c r="AG12" i="28" s="1"/>
  <c r="AI12" i="28" s="1"/>
  <c r="I12" i="29" s="1"/>
  <c r="S12" i="29" s="1"/>
  <c r="X12" i="29" s="1"/>
  <c r="U12" i="29" s="1"/>
  <c r="AE15" i="28"/>
  <c r="AF15" i="28" s="1"/>
  <c r="AG15" i="28" s="1"/>
  <c r="AI15" i="28" s="1"/>
  <c r="I15" i="29" s="1"/>
  <c r="AE7" i="28"/>
  <c r="AF7" i="28" s="1"/>
  <c r="AG7" i="28" s="1"/>
  <c r="AI7" i="28" s="1"/>
  <c r="I7" i="29" s="1"/>
  <c r="AK6" i="29"/>
  <c r="AK7" i="29"/>
  <c r="I14" i="29"/>
  <c r="S14" i="29" s="1"/>
  <c r="X14" i="29" s="1"/>
  <c r="U5" i="29"/>
  <c r="AE4" i="28" l="1"/>
  <c r="AF4" i="28" s="1"/>
  <c r="AG4" i="28" s="1"/>
  <c r="AI4" i="28" s="1"/>
  <c r="I4" i="29" s="1"/>
  <c r="AE5" i="28"/>
  <c r="AF5" i="28" s="1"/>
  <c r="AG5" i="28" s="1"/>
  <c r="AI5" i="28" s="1"/>
  <c r="I5" i="29" s="1"/>
  <c r="AE8" i="28"/>
  <c r="AF8" i="28" s="1"/>
  <c r="AG8" i="28" s="1"/>
  <c r="AI8" i="28" s="1"/>
  <c r="I8" i="29" s="1"/>
  <c r="AE9" i="28"/>
  <c r="AF9" i="28" s="1"/>
  <c r="AG9" i="28" s="1"/>
  <c r="AI9" i="28" s="1"/>
  <c r="I9" i="29" s="1"/>
  <c r="S9" i="29" s="1"/>
  <c r="X9" i="29" s="1"/>
  <c r="AE10" i="28"/>
  <c r="AF10" i="28" s="1"/>
  <c r="AG10" i="28" s="1"/>
  <c r="AI10" i="28" s="1"/>
  <c r="I10" i="29" s="1"/>
  <c r="S10" i="29" s="1"/>
  <c r="X10" i="29" s="1"/>
  <c r="AE13" i="28"/>
  <c r="AF13" i="28" s="1"/>
  <c r="AG13" i="28" s="1"/>
  <c r="AI13" i="28" s="1"/>
  <c r="I13" i="29" s="1"/>
  <c r="S13" i="29" s="1"/>
  <c r="U10" i="29"/>
  <c r="U9" i="29"/>
  <c r="AK9" i="29"/>
  <c r="AH13" i="28"/>
  <c r="G13" i="29" s="1"/>
  <c r="AK12" i="29"/>
  <c r="AK14" i="29"/>
  <c r="U14" i="29"/>
  <c r="S4" i="29"/>
  <c r="X4" i="29" s="1"/>
  <c r="S8" i="29"/>
  <c r="X8" i="29" s="1"/>
  <c r="AK4" i="29" l="1"/>
  <c r="X13" i="29"/>
  <c r="Z13" i="29" s="1"/>
  <c r="U8" i="29"/>
  <c r="Z14" i="29"/>
  <c r="U4" i="29"/>
  <c r="Z4" i="29"/>
  <c r="Z9" i="29"/>
  <c r="Z6" i="29"/>
  <c r="Z5" i="29"/>
  <c r="Z7" i="29"/>
  <c r="Z12" i="29"/>
  <c r="Z8" i="29"/>
  <c r="Z10" i="29" l="1"/>
  <c r="AK8" i="29"/>
  <c r="U13" i="29"/>
  <c r="AK13" i="29"/>
  <c r="E27" i="29"/>
  <c r="G28" i="29" s="1"/>
  <c r="I32" i="29" l="1"/>
  <c r="I29" i="29"/>
  <c r="E28" i="29"/>
  <c r="I31" i="29"/>
  <c r="I30" i="29"/>
  <c r="E30" i="29"/>
  <c r="E31" i="29" s="1"/>
  <c r="E32" i="29" s="1"/>
  <c r="G23" i="29"/>
  <c r="G27" i="29"/>
  <c r="G25" i="29"/>
  <c r="G29" i="29"/>
  <c r="G32" i="29"/>
  <c r="G21" i="29"/>
  <c r="G22" i="29"/>
  <c r="G24" i="29"/>
  <c r="G26" i="29"/>
  <c r="G30" i="29"/>
  <c r="G31" i="29"/>
  <c r="AN21" i="29"/>
  <c r="AN22" i="29" s="1"/>
  <c r="J16" i="29" l="1"/>
  <c r="Y16" i="29" s="1"/>
  <c r="H17" i="29"/>
  <c r="J17" i="29"/>
  <c r="Y17" i="29" s="1"/>
  <c r="H16" i="29"/>
  <c r="AL16" i="29"/>
  <c r="AL17" i="29"/>
  <c r="AL14" i="29"/>
  <c r="AL13" i="29"/>
  <c r="AL4" i="29"/>
  <c r="AL12" i="29"/>
  <c r="AL11" i="29"/>
  <c r="AL10" i="29"/>
  <c r="AL9" i="29"/>
  <c r="AL8" i="29"/>
  <c r="AL7" i="29"/>
  <c r="AL6" i="29"/>
  <c r="AL5" i="29"/>
  <c r="AL15" i="29"/>
  <c r="AN23" i="29"/>
  <c r="J4" i="29"/>
  <c r="Y4" i="29" s="1"/>
  <c r="J7" i="29"/>
  <c r="Y7" i="29" s="1"/>
  <c r="H7" i="29"/>
  <c r="H13" i="29"/>
  <c r="H4" i="29"/>
  <c r="J6" i="29"/>
  <c r="Y6" i="29" s="1"/>
  <c r="H12" i="29"/>
  <c r="J13" i="29"/>
  <c r="J9" i="29"/>
  <c r="Y9" i="29" s="1"/>
  <c r="J14" i="29"/>
  <c r="Y14" i="29" s="1"/>
  <c r="H14" i="29"/>
  <c r="J8" i="29"/>
  <c r="Y8" i="29" s="1"/>
  <c r="H15" i="29"/>
  <c r="H5" i="29"/>
  <c r="J5" i="29"/>
  <c r="Y5" i="29" s="1"/>
  <c r="J15" i="29"/>
  <c r="Y15" i="29" s="1"/>
  <c r="AM15" i="29" s="1"/>
  <c r="AN15" i="29" s="1"/>
  <c r="J11" i="29"/>
  <c r="Y11" i="29" s="1"/>
  <c r="AM11" i="29" s="1"/>
  <c r="AN11" i="29" s="1"/>
  <c r="J12" i="29"/>
  <c r="Y12" i="29" s="1"/>
  <c r="H8" i="29"/>
  <c r="H11" i="29"/>
  <c r="H6" i="29"/>
  <c r="J10" i="29"/>
  <c r="Y10" i="29" s="1"/>
  <c r="H10" i="29"/>
  <c r="H9" i="29"/>
  <c r="AM10" i="29" l="1"/>
  <c r="AN10" i="29" s="1"/>
  <c r="AA17" i="29"/>
  <c r="AC17" i="29" s="1"/>
  <c r="AD17" i="29"/>
  <c r="AE17" i="29" s="1"/>
  <c r="AF17" i="29" s="1"/>
  <c r="AG17" i="29" s="1"/>
  <c r="AI17" i="29" s="1"/>
  <c r="I17" i="30" s="1"/>
  <c r="AM17" i="29"/>
  <c r="AN17" i="29" s="1"/>
  <c r="AD16" i="29"/>
  <c r="AE16" i="29" s="1"/>
  <c r="AF16" i="29" s="1"/>
  <c r="AG16" i="29" s="1"/>
  <c r="AI16" i="29" s="1"/>
  <c r="I16" i="30" s="1"/>
  <c r="AM16" i="29"/>
  <c r="AN16" i="29" s="1"/>
  <c r="AA16" i="29"/>
  <c r="AC16" i="29" s="1"/>
  <c r="AM14" i="29"/>
  <c r="AN14" i="29" s="1"/>
  <c r="AO14" i="29" s="1"/>
  <c r="Y13" i="29"/>
  <c r="AD13" i="29" s="1"/>
  <c r="AO11" i="29"/>
  <c r="AG12" i="1"/>
  <c r="AO15" i="29"/>
  <c r="AG16" i="1"/>
  <c r="AM4" i="29"/>
  <c r="AN4" i="29" s="1"/>
  <c r="AG5" i="1" s="1"/>
  <c r="AM8" i="29"/>
  <c r="AN8" i="29" s="1"/>
  <c r="AM6" i="29"/>
  <c r="AN6" i="29" s="1"/>
  <c r="AM9" i="29"/>
  <c r="AN9" i="29" s="1"/>
  <c r="AM12" i="29"/>
  <c r="AN12" i="29" s="1"/>
  <c r="AM7" i="29"/>
  <c r="AN7" i="29" s="1"/>
  <c r="AM5" i="29"/>
  <c r="AN5" i="29" s="1"/>
  <c r="AA4" i="29"/>
  <c r="AC4" i="29" s="1"/>
  <c r="AD14" i="29"/>
  <c r="AD10" i="29"/>
  <c r="AD9" i="29"/>
  <c r="AD4" i="29"/>
  <c r="AA6" i="29"/>
  <c r="AD6" i="29"/>
  <c r="AD12" i="29"/>
  <c r="AA11" i="29"/>
  <c r="AD11" i="29"/>
  <c r="AE11" i="29" s="1"/>
  <c r="AF11" i="29" s="1"/>
  <c r="AG11" i="29" s="1"/>
  <c r="AI11" i="29" s="1"/>
  <c r="AA15" i="29"/>
  <c r="AD15" i="29"/>
  <c r="AE15" i="29" s="1"/>
  <c r="AF15" i="29" s="1"/>
  <c r="AG15" i="29" s="1"/>
  <c r="AI15" i="29" s="1"/>
  <c r="AD5" i="29"/>
  <c r="AA5" i="29"/>
  <c r="AC5" i="29" s="1"/>
  <c r="AA7" i="29"/>
  <c r="AD7" i="29"/>
  <c r="AD8" i="29"/>
  <c r="AO10" i="29" l="1"/>
  <c r="AG11" i="1"/>
  <c r="AA10" i="29"/>
  <c r="AA9" i="29"/>
  <c r="AJ16" i="29"/>
  <c r="AJ16" i="30" s="1"/>
  <c r="AF17" i="1"/>
  <c r="AO16" i="29"/>
  <c r="AG17" i="1"/>
  <c r="AO17" i="29"/>
  <c r="AG18" i="1"/>
  <c r="AJ17" i="29"/>
  <c r="AJ17" i="30" s="1"/>
  <c r="AF18" i="1"/>
  <c r="AB16" i="29"/>
  <c r="AE17" i="1" s="1"/>
  <c r="AB17" i="29"/>
  <c r="AE18" i="1" s="1"/>
  <c r="AG15" i="1"/>
  <c r="AA12" i="29"/>
  <c r="AB12" i="29" s="1"/>
  <c r="AE13" i="1" s="1"/>
  <c r="AA14" i="29"/>
  <c r="AC14" i="29" s="1"/>
  <c r="AA8" i="29"/>
  <c r="AM13" i="29"/>
  <c r="AN13" i="29" s="1"/>
  <c r="AO13" i="29" s="1"/>
  <c r="AA13" i="29"/>
  <c r="AB13" i="29" s="1"/>
  <c r="AE14" i="1" s="1"/>
  <c r="AO9" i="29"/>
  <c r="AG10" i="1"/>
  <c r="AO6" i="29"/>
  <c r="AG7" i="1"/>
  <c r="AO12" i="29"/>
  <c r="AG13" i="1"/>
  <c r="AO8" i="29"/>
  <c r="AG9" i="1"/>
  <c r="AO5" i="29"/>
  <c r="AG6" i="1"/>
  <c r="AO7" i="29"/>
  <c r="AG8" i="1"/>
  <c r="AC6" i="29"/>
  <c r="AB6" i="29"/>
  <c r="AE7" i="1" s="1"/>
  <c r="AC7" i="29"/>
  <c r="AB7" i="29"/>
  <c r="AE8" i="1" s="1"/>
  <c r="AB5" i="29"/>
  <c r="AE6" i="1" s="1"/>
  <c r="AB4" i="29"/>
  <c r="I15" i="30"/>
  <c r="AC15" i="29"/>
  <c r="AB15" i="29"/>
  <c r="AE16" i="1" s="1"/>
  <c r="I11" i="30"/>
  <c r="AC11" i="29"/>
  <c r="AB11" i="29"/>
  <c r="AE12" i="1" s="1"/>
  <c r="AC10" i="29" l="1"/>
  <c r="AB10" i="29"/>
  <c r="AE11" i="1" s="1"/>
  <c r="AC9" i="29"/>
  <c r="AF10" i="1" s="1"/>
  <c r="AB9" i="29"/>
  <c r="AE10" i="1" s="1"/>
  <c r="E29" i="29"/>
  <c r="AE9" i="29" s="1"/>
  <c r="AF9" i="29" s="1"/>
  <c r="AG9" i="29" s="1"/>
  <c r="AI9" i="29" s="1"/>
  <c r="AC12" i="29"/>
  <c r="AF13" i="1" s="1"/>
  <c r="AB14" i="29"/>
  <c r="AE15" i="1" s="1"/>
  <c r="AB8" i="29"/>
  <c r="AE9" i="1" s="1"/>
  <c r="AC8" i="29"/>
  <c r="AF9" i="1" s="1"/>
  <c r="AG14" i="1"/>
  <c r="AC13" i="29"/>
  <c r="AJ13" i="29" s="1"/>
  <c r="I27" i="29"/>
  <c r="I26" i="29"/>
  <c r="I28" i="29"/>
  <c r="AE6" i="29"/>
  <c r="AF6" i="29" s="1"/>
  <c r="AG6" i="29" s="1"/>
  <c r="AI6" i="29" s="1"/>
  <c r="AJ14" i="29"/>
  <c r="AF15" i="1"/>
  <c r="AJ4" i="29"/>
  <c r="AF5" i="1"/>
  <c r="AE5" i="1"/>
  <c r="AJ5" i="29"/>
  <c r="AF6" i="1"/>
  <c r="AE4" i="29"/>
  <c r="AF4" i="29" s="1"/>
  <c r="AG4" i="29" s="1"/>
  <c r="AI4" i="29" s="1"/>
  <c r="AF12" i="1"/>
  <c r="AJ11" i="29"/>
  <c r="AJ11" i="30" s="1"/>
  <c r="AF16" i="1"/>
  <c r="AJ15" i="29"/>
  <c r="AJ15" i="30" s="1"/>
  <c r="AE7" i="29"/>
  <c r="AF7" i="29" s="1"/>
  <c r="AG7" i="29" s="1"/>
  <c r="AI7" i="29" s="1"/>
  <c r="AJ7" i="29"/>
  <c r="AF8" i="1"/>
  <c r="AJ6" i="29"/>
  <c r="AJ6" i="30" s="1"/>
  <c r="AF7" i="1"/>
  <c r="AJ9" i="29" l="1"/>
  <c r="AF11" i="1"/>
  <c r="AJ10" i="29"/>
  <c r="AE5" i="29"/>
  <c r="AF5" i="29" s="1"/>
  <c r="AG5" i="29" s="1"/>
  <c r="AI5" i="29" s="1"/>
  <c r="I5" i="30" s="1"/>
  <c r="AE10" i="29"/>
  <c r="AF10" i="29" s="1"/>
  <c r="AG10" i="29" s="1"/>
  <c r="AI10" i="29" s="1"/>
  <c r="I10" i="30" s="1"/>
  <c r="S10" i="30" s="1"/>
  <c r="X10" i="30" s="1"/>
  <c r="AE8" i="29"/>
  <c r="AF8" i="29" s="1"/>
  <c r="AG8" i="29" s="1"/>
  <c r="AI8" i="29" s="1"/>
  <c r="I8" i="30" s="1"/>
  <c r="AJ12" i="29"/>
  <c r="AJ12" i="30" s="1"/>
  <c r="AE14" i="29"/>
  <c r="AF14" i="29" s="1"/>
  <c r="AG14" i="29" s="1"/>
  <c r="AI14" i="29" s="1"/>
  <c r="I14" i="30" s="1"/>
  <c r="AE12" i="29"/>
  <c r="AF12" i="29" s="1"/>
  <c r="AG12" i="29" s="1"/>
  <c r="AI12" i="29" s="1"/>
  <c r="I12" i="30" s="1"/>
  <c r="AE13" i="29"/>
  <c r="AF13" i="29" s="1"/>
  <c r="AG13" i="29" s="1"/>
  <c r="AH13" i="29" s="1"/>
  <c r="G13" i="30" s="1"/>
  <c r="AJ8" i="29"/>
  <c r="I25" i="29"/>
  <c r="I23" i="29"/>
  <c r="I24" i="29"/>
  <c r="I21" i="29"/>
  <c r="I22" i="29"/>
  <c r="AF14" i="1"/>
  <c r="S5" i="30"/>
  <c r="X5" i="30" s="1"/>
  <c r="I6" i="30"/>
  <c r="I7" i="30"/>
  <c r="I9" i="30"/>
  <c r="S9" i="30" s="1"/>
  <c r="X9" i="30" s="1"/>
  <c r="I4" i="30"/>
  <c r="AI13" i="29" l="1"/>
  <c r="I13" i="30" s="1"/>
  <c r="S14" i="30"/>
  <c r="X14" i="30" s="1"/>
  <c r="U14" i="30" s="1"/>
  <c r="S7" i="30"/>
  <c r="X7" i="30" s="1"/>
  <c r="S13" i="30"/>
  <c r="S8" i="30"/>
  <c r="X8" i="30" s="1"/>
  <c r="U5" i="30"/>
  <c r="S4" i="30"/>
  <c r="AK10" i="30" l="1"/>
  <c r="U10" i="30"/>
  <c r="U9" i="30"/>
  <c r="AK9" i="30"/>
  <c r="AK14" i="30"/>
  <c r="U8" i="30"/>
  <c r="AK8" i="30"/>
  <c r="X4" i="30"/>
  <c r="AK5" i="30"/>
  <c r="X13" i="30"/>
  <c r="AK7" i="30"/>
  <c r="U7" i="30"/>
  <c r="Z5" i="30"/>
  <c r="Z10" i="30" l="1"/>
  <c r="Z9" i="30"/>
  <c r="U13" i="30"/>
  <c r="AK13" i="30"/>
  <c r="Z13" i="30"/>
  <c r="Z8" i="30"/>
  <c r="Z14" i="30"/>
  <c r="Z7" i="30"/>
  <c r="Z4" i="30"/>
  <c r="AC4" i="30" s="1"/>
  <c r="AC5" i="30"/>
  <c r="AB5" i="30"/>
  <c r="U4" i="30"/>
  <c r="AK4" i="30"/>
  <c r="E27" i="30"/>
  <c r="G28" i="30" s="1"/>
  <c r="AB9" i="30" l="1"/>
  <c r="AI10" i="1" s="1"/>
  <c r="AC9" i="30"/>
  <c r="AB10" i="30"/>
  <c r="AI11" i="1" s="1"/>
  <c r="AC10" i="30"/>
  <c r="AC14" i="30"/>
  <c r="AB14" i="30"/>
  <c r="AI15" i="1" s="1"/>
  <c r="AB4" i="30"/>
  <c r="AI5" i="1" s="1"/>
  <c r="AB8" i="30"/>
  <c r="AI9" i="1" s="1"/>
  <c r="AC8" i="30"/>
  <c r="AC13" i="30"/>
  <c r="AB13" i="30"/>
  <c r="AI14" i="1" s="1"/>
  <c r="AB7" i="30"/>
  <c r="AI8" i="1" s="1"/>
  <c r="AC7" i="30"/>
  <c r="AN21" i="30"/>
  <c r="AN22" i="30" s="1"/>
  <c r="E28" i="30"/>
  <c r="I29" i="30"/>
  <c r="I32" i="30"/>
  <c r="I27" i="30"/>
  <c r="I30" i="30"/>
  <c r="I31" i="30"/>
  <c r="I28" i="30"/>
  <c r="E30" i="30"/>
  <c r="E31" i="30" s="1"/>
  <c r="E32" i="30" s="1"/>
  <c r="G22" i="30"/>
  <c r="G27" i="30"/>
  <c r="G31" i="30"/>
  <c r="G26" i="30"/>
  <c r="G32" i="30"/>
  <c r="G24" i="30"/>
  <c r="G21" i="30"/>
  <c r="G30" i="30"/>
  <c r="G29" i="30"/>
  <c r="G25" i="30"/>
  <c r="G23" i="30"/>
  <c r="AJ5" i="1"/>
  <c r="AJ4" i="30"/>
  <c r="AI6" i="1"/>
  <c r="AJ6" i="1"/>
  <c r="AJ5" i="30"/>
  <c r="AJ11" i="1" l="1"/>
  <c r="AJ10" i="30"/>
  <c r="AJ10" i="1"/>
  <c r="AJ9" i="30"/>
  <c r="AL16" i="30"/>
  <c r="AL17" i="30"/>
  <c r="H4" i="30"/>
  <c r="J17" i="30"/>
  <c r="Y17" i="30" s="1"/>
  <c r="H16" i="30"/>
  <c r="J16" i="30"/>
  <c r="Y16" i="30" s="1"/>
  <c r="H17" i="30"/>
  <c r="I26" i="30"/>
  <c r="I25" i="30"/>
  <c r="AJ7" i="30"/>
  <c r="AJ8" i="1"/>
  <c r="AJ14" i="1"/>
  <c r="AJ13" i="30"/>
  <c r="AJ9" i="1"/>
  <c r="AJ8" i="30"/>
  <c r="I24" i="30"/>
  <c r="I22" i="30"/>
  <c r="I21" i="30"/>
  <c r="I23" i="30"/>
  <c r="AJ14" i="30"/>
  <c r="AJ15" i="1"/>
  <c r="AL9" i="30"/>
  <c r="AL14" i="30"/>
  <c r="AL4" i="30"/>
  <c r="AL10" i="30"/>
  <c r="AL11" i="30"/>
  <c r="AL7" i="30"/>
  <c r="AL12" i="30"/>
  <c r="AL15" i="30"/>
  <c r="AN23" i="30"/>
  <c r="AL13" i="30"/>
  <c r="AL5" i="30"/>
  <c r="AL6" i="30"/>
  <c r="AL8" i="30"/>
  <c r="H6" i="30"/>
  <c r="H14" i="30"/>
  <c r="H12" i="30"/>
  <c r="H7" i="30"/>
  <c r="H8" i="30"/>
  <c r="H10" i="30"/>
  <c r="H11" i="30"/>
  <c r="H15" i="30"/>
  <c r="H9" i="30"/>
  <c r="H5" i="30"/>
  <c r="J13" i="30"/>
  <c r="J14" i="30"/>
  <c r="Y14" i="30" s="1"/>
  <c r="J10" i="30"/>
  <c r="Y10" i="30" s="1"/>
  <c r="J15" i="30"/>
  <c r="Y15" i="30" s="1"/>
  <c r="J11" i="30"/>
  <c r="Y11" i="30" s="1"/>
  <c r="H13" i="30"/>
  <c r="J5" i="30"/>
  <c r="J6" i="30"/>
  <c r="Y6" i="30" s="1"/>
  <c r="J4" i="30"/>
  <c r="J9" i="30"/>
  <c r="Y9" i="30" s="1"/>
  <c r="J8" i="30"/>
  <c r="Y8" i="30" s="1"/>
  <c r="J7" i="30"/>
  <c r="Y7" i="30" s="1"/>
  <c r="J12" i="30"/>
  <c r="Y12" i="30" s="1"/>
  <c r="AM16" i="30" l="1"/>
  <c r="AN16" i="30" s="1"/>
  <c r="AA16" i="30"/>
  <c r="AD16" i="30"/>
  <c r="AE16" i="30" s="1"/>
  <c r="AF16" i="30" s="1"/>
  <c r="AG16" i="30" s="1"/>
  <c r="AI16" i="30" s="1"/>
  <c r="I16" i="31" s="1"/>
  <c r="AD17" i="30"/>
  <c r="AE17" i="30" s="1"/>
  <c r="AF17" i="30" s="1"/>
  <c r="AG17" i="30" s="1"/>
  <c r="AI17" i="30" s="1"/>
  <c r="I17" i="31" s="1"/>
  <c r="AM17" i="30"/>
  <c r="AN17" i="30" s="1"/>
  <c r="AA17" i="30"/>
  <c r="Y13" i="30"/>
  <c r="AD13" i="30" s="1"/>
  <c r="Y4" i="30"/>
  <c r="Y5" i="30"/>
  <c r="AD5" i="30" s="1"/>
  <c r="AM9" i="30"/>
  <c r="AN9" i="30" s="1"/>
  <c r="AD9" i="30"/>
  <c r="AM11" i="30"/>
  <c r="AN11" i="30" s="1"/>
  <c r="AD11" i="30"/>
  <c r="AE11" i="30" s="1"/>
  <c r="AF11" i="30" s="1"/>
  <c r="AG11" i="30" s="1"/>
  <c r="AI11" i="30" s="1"/>
  <c r="AA11" i="30"/>
  <c r="AM10" i="30"/>
  <c r="AN10" i="30" s="1"/>
  <c r="AD10" i="30"/>
  <c r="AM6" i="30"/>
  <c r="AN6" i="30" s="1"/>
  <c r="AD6" i="30"/>
  <c r="AE6" i="30" s="1"/>
  <c r="AF6" i="30" s="1"/>
  <c r="AG6" i="30" s="1"/>
  <c r="AI6" i="30" s="1"/>
  <c r="AA6" i="30"/>
  <c r="AM15" i="30"/>
  <c r="AN15" i="30" s="1"/>
  <c r="AD15" i="30"/>
  <c r="AE15" i="30" s="1"/>
  <c r="AF15" i="30" s="1"/>
  <c r="AG15" i="30" s="1"/>
  <c r="AI15" i="30" s="1"/>
  <c r="AA15" i="30"/>
  <c r="AM12" i="30"/>
  <c r="AN12" i="30" s="1"/>
  <c r="AA12" i="30"/>
  <c r="AD12" i="30"/>
  <c r="AE12" i="30" s="1"/>
  <c r="AF12" i="30" s="1"/>
  <c r="AG12" i="30" s="1"/>
  <c r="AI12" i="30" s="1"/>
  <c r="AM7" i="30"/>
  <c r="AN7" i="30" s="1"/>
  <c r="AD7" i="30"/>
  <c r="AM14" i="30"/>
  <c r="AN14" i="30" s="1"/>
  <c r="AD14" i="30"/>
  <c r="AM8" i="30"/>
  <c r="AN8" i="30" s="1"/>
  <c r="AD8" i="30"/>
  <c r="AA9" i="30" l="1"/>
  <c r="AA10" i="30"/>
  <c r="AM13" i="30"/>
  <c r="AN13" i="30" s="1"/>
  <c r="AO17" i="30"/>
  <c r="AK18" i="1"/>
  <c r="AO16" i="30"/>
  <c r="AK17" i="1"/>
  <c r="AA8" i="30"/>
  <c r="AA13" i="30"/>
  <c r="AA7" i="30"/>
  <c r="AA14" i="30"/>
  <c r="AM5" i="30"/>
  <c r="AN5" i="30" s="1"/>
  <c r="AK6" i="1" s="1"/>
  <c r="AD4" i="30"/>
  <c r="AM4" i="30"/>
  <c r="AN4" i="30" s="1"/>
  <c r="AK5" i="1" s="1"/>
  <c r="AA5" i="30"/>
  <c r="AA4" i="30"/>
  <c r="AO8" i="30"/>
  <c r="AK9" i="1"/>
  <c r="AO6" i="30"/>
  <c r="AK7" i="1"/>
  <c r="AO11" i="30"/>
  <c r="AK12" i="1"/>
  <c r="AO15" i="30"/>
  <c r="AK16" i="1"/>
  <c r="AO7" i="30"/>
  <c r="AK8" i="1"/>
  <c r="AO9" i="30"/>
  <c r="AK10" i="1"/>
  <c r="AO10" i="30"/>
  <c r="AK11" i="1"/>
  <c r="AO12" i="30"/>
  <c r="AK13" i="1"/>
  <c r="AO14" i="30"/>
  <c r="AK15" i="1"/>
  <c r="AO4" i="28"/>
  <c r="AO4" i="29" s="1"/>
  <c r="AE5" i="30"/>
  <c r="AF5" i="30" s="1"/>
  <c r="AG5" i="30" s="1"/>
  <c r="I6" i="31"/>
  <c r="I11" i="31"/>
  <c r="I15" i="31"/>
  <c r="I12" i="31"/>
  <c r="AO13" i="30" l="1"/>
  <c r="AK14" i="1"/>
  <c r="E29" i="30"/>
  <c r="AO5" i="30"/>
  <c r="AO4" i="30"/>
  <c r="AH4" i="30"/>
  <c r="G4" i="31" s="1"/>
  <c r="AH5" i="30"/>
  <c r="G5" i="31" s="1"/>
  <c r="AH5" i="31" s="1"/>
  <c r="G5" i="32" s="1"/>
  <c r="AI5" i="30"/>
  <c r="I5" i="31" s="1"/>
  <c r="S6" i="31"/>
  <c r="X6" i="31" s="1"/>
  <c r="S12" i="31"/>
  <c r="X12" i="31" s="1"/>
  <c r="AE13" i="30" l="1"/>
  <c r="AF13" i="30" s="1"/>
  <c r="AG13" i="30" s="1"/>
  <c r="AI13" i="30" s="1"/>
  <c r="I13" i="31" s="1"/>
  <c r="S13" i="31" s="1"/>
  <c r="AE9" i="30"/>
  <c r="AF9" i="30" s="1"/>
  <c r="AG9" i="30" s="1"/>
  <c r="AI9" i="30" s="1"/>
  <c r="I9" i="31" s="1"/>
  <c r="S9" i="31" s="1"/>
  <c r="AE10" i="30"/>
  <c r="AF10" i="30" s="1"/>
  <c r="AG10" i="30" s="1"/>
  <c r="AI10" i="30" s="1"/>
  <c r="I10" i="31" s="1"/>
  <c r="S10" i="31" s="1"/>
  <c r="X10" i="31" s="1"/>
  <c r="U10" i="31" s="1"/>
  <c r="AH13" i="30"/>
  <c r="G13" i="31" s="1"/>
  <c r="AE14" i="30"/>
  <c r="AF14" i="30" s="1"/>
  <c r="AG14" i="30" s="1"/>
  <c r="AI14" i="30" s="1"/>
  <c r="I14" i="31" s="1"/>
  <c r="S14" i="31" s="1"/>
  <c r="X14" i="31" s="1"/>
  <c r="U14" i="31" s="1"/>
  <c r="AE4" i="30"/>
  <c r="AF4" i="30" s="1"/>
  <c r="AG4" i="30" s="1"/>
  <c r="AI4" i="30" s="1"/>
  <c r="I4" i="31" s="1"/>
  <c r="AE7" i="30"/>
  <c r="AF7" i="30" s="1"/>
  <c r="AG7" i="30" s="1"/>
  <c r="AI7" i="30" s="1"/>
  <c r="I7" i="31" s="1"/>
  <c r="S7" i="31" s="1"/>
  <c r="X7" i="31" s="1"/>
  <c r="U7" i="31" s="1"/>
  <c r="AE8" i="30"/>
  <c r="AF8" i="30" s="1"/>
  <c r="AG8" i="30" s="1"/>
  <c r="AI8" i="30" s="1"/>
  <c r="I8" i="31" s="1"/>
  <c r="S8" i="31" s="1"/>
  <c r="X8" i="31" s="1"/>
  <c r="AK12" i="31"/>
  <c r="AH5" i="32"/>
  <c r="G5" i="33" s="1"/>
  <c r="S5" i="31"/>
  <c r="X5" i="31" s="1"/>
  <c r="AK5" i="31" s="1"/>
  <c r="U6" i="31"/>
  <c r="AK6" i="31"/>
  <c r="U9" i="31" l="1"/>
  <c r="X13" i="31"/>
  <c r="U13" i="31" s="1"/>
  <c r="AK8" i="31"/>
  <c r="AK9" i="31"/>
  <c r="X9" i="31"/>
  <c r="AK10" i="31"/>
  <c r="AK14" i="31"/>
  <c r="S4" i="31"/>
  <c r="X4" i="31" s="1"/>
  <c r="AK4" i="31" s="1"/>
  <c r="U8" i="31"/>
  <c r="AK7" i="31"/>
  <c r="U12" i="31"/>
  <c r="Z7" i="31"/>
  <c r="Z5" i="31"/>
  <c r="AH5" i="33"/>
  <c r="G5" i="34" s="1"/>
  <c r="U5" i="31"/>
  <c r="AK13" i="31"/>
  <c r="Z13" i="31" l="1"/>
  <c r="Z8" i="31"/>
  <c r="Z9" i="31"/>
  <c r="Z10" i="31"/>
  <c r="U4" i="31"/>
  <c r="E27" i="31"/>
  <c r="E28" i="31" s="1"/>
  <c r="Z14" i="31"/>
  <c r="Z6" i="31"/>
  <c r="Z4" i="31"/>
  <c r="Z12" i="31"/>
  <c r="AH5" i="34"/>
  <c r="G5" i="35" s="1"/>
  <c r="AH5" i="35" s="1"/>
  <c r="G26" i="31" l="1"/>
  <c r="G30" i="31"/>
  <c r="G24" i="31"/>
  <c r="E30" i="31"/>
  <c r="G31" i="31"/>
  <c r="I31" i="31"/>
  <c r="G32" i="31"/>
  <c r="G28" i="31"/>
  <c r="I32" i="31"/>
  <c r="AN21" i="31"/>
  <c r="AN22" i="31" s="1"/>
  <c r="AL14" i="31" s="1"/>
  <c r="G25" i="31"/>
  <c r="G23" i="31"/>
  <c r="G29" i="31"/>
  <c r="G27" i="31"/>
  <c r="G21" i="31"/>
  <c r="G22" i="31"/>
  <c r="E31" i="31" l="1"/>
  <c r="AN23" i="31"/>
  <c r="AL9" i="31"/>
  <c r="AL5" i="31"/>
  <c r="AL16" i="31"/>
  <c r="AL13" i="31"/>
  <c r="AL11" i="31"/>
  <c r="AL17" i="31"/>
  <c r="AL6" i="31"/>
  <c r="AL7" i="31"/>
  <c r="AL8" i="31"/>
  <c r="AL10" i="31"/>
  <c r="AL4" i="31"/>
  <c r="AL12" i="31"/>
  <c r="AL15" i="31"/>
  <c r="J14" i="31" l="1"/>
  <c r="Y14" i="31" s="1"/>
  <c r="J8" i="31"/>
  <c r="Y8" i="31" s="1"/>
  <c r="AD8" i="31" s="1"/>
  <c r="J12" i="31"/>
  <c r="Y12" i="31" s="1"/>
  <c r="H4" i="31"/>
  <c r="H16" i="31"/>
  <c r="J15" i="31"/>
  <c r="Y15" i="31" s="1"/>
  <c r="AM15" i="31" s="1"/>
  <c r="AN15" i="31" s="1"/>
  <c r="AO16" i="1" s="1"/>
  <c r="H12" i="31"/>
  <c r="J9" i="31"/>
  <c r="Y9" i="31" s="1"/>
  <c r="J11" i="31"/>
  <c r="Y11" i="31" s="1"/>
  <c r="H13" i="31"/>
  <c r="J10" i="31"/>
  <c r="Y10" i="31" s="1"/>
  <c r="J17" i="31"/>
  <c r="Y17" i="31" s="1"/>
  <c r="AD17" i="31" s="1"/>
  <c r="AE17" i="31" s="1"/>
  <c r="AF17" i="31" s="1"/>
  <c r="AG17" i="31" s="1"/>
  <c r="AI17" i="31" s="1"/>
  <c r="I17" i="32" s="1"/>
  <c r="H15" i="31"/>
  <c r="J13" i="31"/>
  <c r="Y13" i="31" s="1"/>
  <c r="AD13" i="31" s="1"/>
  <c r="H11" i="31"/>
  <c r="H10" i="31"/>
  <c r="H9" i="31"/>
  <c r="H6" i="31"/>
  <c r="H17" i="31"/>
  <c r="H8" i="31"/>
  <c r="E32" i="31"/>
  <c r="J5" i="31"/>
  <c r="Y5" i="31" s="1"/>
  <c r="AA5" i="31" s="1"/>
  <c r="AB5" i="31" s="1"/>
  <c r="AM6" i="1" s="1"/>
  <c r="H7" i="31"/>
  <c r="J7" i="31"/>
  <c r="Y7" i="31" s="1"/>
  <c r="AM7" i="31" s="1"/>
  <c r="AN7" i="31" s="1"/>
  <c r="AO8" i="1" s="1"/>
  <c r="H5" i="31"/>
  <c r="H14" i="31"/>
  <c r="J4" i="31"/>
  <c r="Y4" i="31" s="1"/>
  <c r="AD4" i="31" s="1"/>
  <c r="J6" i="31"/>
  <c r="Y6" i="31" s="1"/>
  <c r="AD6" i="31" s="1"/>
  <c r="J16" i="31"/>
  <c r="Y16" i="31" s="1"/>
  <c r="S11" i="32"/>
  <c r="X11" i="32" s="1"/>
  <c r="I30" i="31"/>
  <c r="AD14" i="31" l="1"/>
  <c r="AM14" i="31"/>
  <c r="AN14" i="31" s="1"/>
  <c r="AA14" i="31"/>
  <c r="AD12" i="31"/>
  <c r="AM12" i="31"/>
  <c r="AN12" i="31" s="1"/>
  <c r="AA12" i="31"/>
  <c r="AA15" i="31"/>
  <c r="AD15" i="31"/>
  <c r="AE15" i="31" s="1"/>
  <c r="AF15" i="31" s="1"/>
  <c r="AG15" i="31" s="1"/>
  <c r="AI15" i="31" s="1"/>
  <c r="I15" i="32" s="1"/>
  <c r="AD9" i="31"/>
  <c r="AM9" i="31"/>
  <c r="AN9" i="31" s="1"/>
  <c r="AM11" i="31"/>
  <c r="AN11" i="31" s="1"/>
  <c r="AD11" i="31"/>
  <c r="AE11" i="31" s="1"/>
  <c r="AF11" i="31" s="1"/>
  <c r="AG11" i="31" s="1"/>
  <c r="AI11" i="31" s="1"/>
  <c r="I11" i="32" s="1"/>
  <c r="AA11" i="31"/>
  <c r="AM10" i="31"/>
  <c r="AN10" i="31" s="1"/>
  <c r="AD10" i="31"/>
  <c r="AA17" i="31"/>
  <c r="AM17" i="31"/>
  <c r="AN17" i="31" s="1"/>
  <c r="AD5" i="31"/>
  <c r="AE5" i="31" s="1"/>
  <c r="AF5" i="31" s="1"/>
  <c r="AG5" i="31" s="1"/>
  <c r="AI5" i="31" s="1"/>
  <c r="I5" i="32" s="1"/>
  <c r="AM5" i="31"/>
  <c r="AN5" i="31" s="1"/>
  <c r="AD7" i="31"/>
  <c r="AA7" i="31"/>
  <c r="AM8" i="31"/>
  <c r="AN8" i="31" s="1"/>
  <c r="AO7" i="31"/>
  <c r="AA6" i="31"/>
  <c r="AM6" i="31"/>
  <c r="AN6" i="31" s="1"/>
  <c r="AO6" i="31" s="1"/>
  <c r="AA13" i="31"/>
  <c r="AB13" i="31" s="1"/>
  <c r="AM14" i="1" s="1"/>
  <c r="AA16" i="31"/>
  <c r="AD16" i="31"/>
  <c r="AE16" i="31" s="1"/>
  <c r="AF16" i="31" s="1"/>
  <c r="AG16" i="31" s="1"/>
  <c r="AI16" i="31" s="1"/>
  <c r="I16" i="32" s="1"/>
  <c r="AM16" i="31"/>
  <c r="AN16" i="31" s="1"/>
  <c r="AM13" i="31"/>
  <c r="AN13" i="31" s="1"/>
  <c r="AO13" i="31" s="1"/>
  <c r="AA9" i="31"/>
  <c r="AC9" i="31" s="1"/>
  <c r="AJ9" i="31" s="1"/>
  <c r="AA8" i="31"/>
  <c r="AB8" i="31" s="1"/>
  <c r="AM9" i="1" s="1"/>
  <c r="AC5" i="31"/>
  <c r="AJ5" i="31" s="1"/>
  <c r="AA10" i="31"/>
  <c r="AM4" i="31"/>
  <c r="AN4" i="31" s="1"/>
  <c r="AO5" i="1" s="1"/>
  <c r="AA4" i="31"/>
  <c r="AC4" i="31" s="1"/>
  <c r="AJ4" i="31" s="1"/>
  <c r="AO15" i="31"/>
  <c r="AO14" i="31" l="1"/>
  <c r="AO15" i="1"/>
  <c r="AB14" i="31"/>
  <c r="AM15" i="1" s="1"/>
  <c r="AC14" i="31"/>
  <c r="AO12" i="31"/>
  <c r="AO13" i="1"/>
  <c r="AB12" i="31"/>
  <c r="AM13" i="1" s="1"/>
  <c r="AC12" i="31"/>
  <c r="AB15" i="31"/>
  <c r="AM16" i="1" s="1"/>
  <c r="AC15" i="31"/>
  <c r="AC11" i="31"/>
  <c r="AB11" i="31"/>
  <c r="AM12" i="1" s="1"/>
  <c r="AO12" i="1"/>
  <c r="AO11" i="31"/>
  <c r="AO10" i="1"/>
  <c r="AO9" i="31"/>
  <c r="AO11" i="1"/>
  <c r="AO10" i="31"/>
  <c r="AO5" i="31"/>
  <c r="AO6" i="1"/>
  <c r="AB17" i="31"/>
  <c r="AM18" i="1" s="1"/>
  <c r="AC17" i="31"/>
  <c r="AO17" i="31"/>
  <c r="AO18" i="1"/>
  <c r="AB7" i="31"/>
  <c r="AM8" i="1" s="1"/>
  <c r="AC7" i="31"/>
  <c r="AO9" i="1"/>
  <c r="AO8" i="31"/>
  <c r="AB6" i="31"/>
  <c r="AM7" i="1" s="1"/>
  <c r="AC6" i="31"/>
  <c r="AC13" i="31"/>
  <c r="AN14" i="1" s="1"/>
  <c r="AO7" i="1"/>
  <c r="AO16" i="31"/>
  <c r="AO17" i="1"/>
  <c r="AO14" i="1"/>
  <c r="AC16" i="31"/>
  <c r="AB16" i="31"/>
  <c r="AM17" i="1" s="1"/>
  <c r="AB9" i="31"/>
  <c r="AM10" i="1" s="1"/>
  <c r="AN10" i="1"/>
  <c r="AN6" i="1"/>
  <c r="AC8" i="31"/>
  <c r="AN9" i="1" s="1"/>
  <c r="E29" i="31"/>
  <c r="AE10" i="31" s="1"/>
  <c r="AF10" i="31" s="1"/>
  <c r="AG10" i="31" s="1"/>
  <c r="AI10" i="31" s="1"/>
  <c r="I10" i="32" s="1"/>
  <c r="S10" i="32" s="1"/>
  <c r="X10" i="32" s="1"/>
  <c r="AB10" i="31"/>
  <c r="AM11" i="1" s="1"/>
  <c r="AC10" i="31"/>
  <c r="AN5" i="1"/>
  <c r="AB4" i="31"/>
  <c r="AM5" i="1" s="1"/>
  <c r="AO4" i="31"/>
  <c r="AK11" i="32"/>
  <c r="U11" i="32"/>
  <c r="I25" i="31"/>
  <c r="I28" i="31"/>
  <c r="I27" i="31"/>
  <c r="I26" i="31"/>
  <c r="I29" i="31"/>
  <c r="AE6" i="31"/>
  <c r="AF6" i="31" s="1"/>
  <c r="AG6" i="31" s="1"/>
  <c r="AI6" i="31" s="1"/>
  <c r="I6" i="32" s="1"/>
  <c r="AE4" i="31"/>
  <c r="AF4" i="31" s="1"/>
  <c r="AG4" i="31" s="1"/>
  <c r="AE14" i="31"/>
  <c r="AF14" i="31" s="1"/>
  <c r="AG14" i="31" s="1"/>
  <c r="AI14" i="31" s="1"/>
  <c r="I14" i="32" s="1"/>
  <c r="AE12" i="31"/>
  <c r="AF12" i="31" s="1"/>
  <c r="AG12" i="31" s="1"/>
  <c r="AI12" i="31" s="1"/>
  <c r="I12" i="32" s="1"/>
  <c r="AE7" i="31"/>
  <c r="AF7" i="31" s="1"/>
  <c r="AG7" i="31" s="1"/>
  <c r="AI7" i="31" s="1"/>
  <c r="I7" i="32" s="1"/>
  <c r="S4" i="32"/>
  <c r="X4" i="32" s="1"/>
  <c r="S5" i="32"/>
  <c r="X5" i="32" s="1"/>
  <c r="AJ14" i="31" l="1"/>
  <c r="AN15" i="1"/>
  <c r="AJ12" i="31"/>
  <c r="AN13" i="1"/>
  <c r="AJ15" i="31"/>
  <c r="AJ15" i="32" s="1"/>
  <c r="AN16" i="1"/>
  <c r="AN12" i="1"/>
  <c r="AJ11" i="31"/>
  <c r="AN18" i="1"/>
  <c r="AJ17" i="31"/>
  <c r="AJ17" i="32" s="1"/>
  <c r="AJ13" i="31"/>
  <c r="AN8" i="1"/>
  <c r="AJ7" i="31"/>
  <c r="AN7" i="1"/>
  <c r="AJ6" i="31"/>
  <c r="AJ6" i="32" s="1"/>
  <c r="AE13" i="31"/>
  <c r="AF13" i="31" s="1"/>
  <c r="AG13" i="31" s="1"/>
  <c r="AI13" i="31" s="1"/>
  <c r="I13" i="32" s="1"/>
  <c r="I24" i="31"/>
  <c r="AN17" i="1"/>
  <c r="AJ16" i="31"/>
  <c r="AJ16" i="32" s="1"/>
  <c r="AE8" i="31"/>
  <c r="AF8" i="31" s="1"/>
  <c r="AG8" i="31" s="1"/>
  <c r="AI8" i="31" s="1"/>
  <c r="I8" i="32" s="1"/>
  <c r="S8" i="32" s="1"/>
  <c r="X8" i="32" s="1"/>
  <c r="AJ8" i="31"/>
  <c r="AE9" i="31"/>
  <c r="AF9" i="31" s="1"/>
  <c r="AG9" i="31" s="1"/>
  <c r="AI9" i="31" s="1"/>
  <c r="I9" i="32" s="1"/>
  <c r="S9" i="32" s="1"/>
  <c r="X9" i="32" s="1"/>
  <c r="I23" i="31"/>
  <c r="I21" i="31"/>
  <c r="I22" i="31"/>
  <c r="AN11" i="1"/>
  <c r="AJ10" i="31"/>
  <c r="AH4" i="31"/>
  <c r="G4" i="32" s="1"/>
  <c r="AH4" i="32" s="1"/>
  <c r="AI4" i="31"/>
  <c r="I4" i="32" s="1"/>
  <c r="S12" i="32"/>
  <c r="X12" i="32" s="1"/>
  <c r="S7" i="32"/>
  <c r="X7" i="32" s="1"/>
  <c r="S14" i="32"/>
  <c r="X14" i="32" s="1"/>
  <c r="AH13" i="31"/>
  <c r="G13" i="32" s="1"/>
  <c r="Z4" i="32"/>
  <c r="U10" i="32"/>
  <c r="AK10" i="32"/>
  <c r="Z5" i="32"/>
  <c r="U14" i="32" l="1"/>
  <c r="AK14" i="32"/>
  <c r="S13" i="32"/>
  <c r="U4" i="32"/>
  <c r="AK4" i="32"/>
  <c r="AC5" i="32"/>
  <c r="AB5" i="32"/>
  <c r="AQ6" i="1" s="1"/>
  <c r="AK12" i="32"/>
  <c r="U12" i="32"/>
  <c r="AC4" i="32"/>
  <c r="AB4" i="32"/>
  <c r="AQ5" i="1" s="1"/>
  <c r="AK5" i="32"/>
  <c r="U5" i="32"/>
  <c r="U7" i="32"/>
  <c r="AK7" i="32"/>
  <c r="AK8" i="32"/>
  <c r="U8" i="32"/>
  <c r="U9" i="32"/>
  <c r="AK9" i="32"/>
  <c r="X13" i="32" l="1"/>
  <c r="Z10" i="32" s="1"/>
  <c r="AR5" i="1"/>
  <c r="AJ4" i="32"/>
  <c r="AJ5" i="32"/>
  <c r="AR6" i="1"/>
  <c r="AB10" i="32" l="1"/>
  <c r="AQ11" i="1" s="1"/>
  <c r="AC10" i="32"/>
  <c r="Z9" i="32"/>
  <c r="Z8" i="32"/>
  <c r="Z7" i="32"/>
  <c r="Z11" i="32"/>
  <c r="Z13" i="32"/>
  <c r="Z12" i="32"/>
  <c r="Z14" i="32"/>
  <c r="AR11" i="1" l="1"/>
  <c r="AJ10" i="32"/>
  <c r="AB13" i="32"/>
  <c r="AQ14" i="1" s="1"/>
  <c r="AC13" i="32"/>
  <c r="AC11" i="32"/>
  <c r="AB11" i="32"/>
  <c r="AQ12" i="1" s="1"/>
  <c r="AB12" i="32"/>
  <c r="AQ13" i="1" s="1"/>
  <c r="AC12" i="32"/>
  <c r="AC8" i="32"/>
  <c r="AB8" i="32"/>
  <c r="AQ9" i="1" s="1"/>
  <c r="AC14" i="32"/>
  <c r="AB14" i="32"/>
  <c r="AQ15" i="1" s="1"/>
  <c r="AB9" i="32"/>
  <c r="AQ10" i="1" s="1"/>
  <c r="AC9" i="32"/>
  <c r="AC7" i="32"/>
  <c r="AB7" i="32"/>
  <c r="AQ8" i="1" s="1"/>
  <c r="AK13" i="32"/>
  <c r="U13" i="32"/>
  <c r="E27" i="32"/>
  <c r="AR10" i="1" l="1"/>
  <c r="AJ9" i="32"/>
  <c r="AJ7" i="32"/>
  <c r="AR8" i="1"/>
  <c r="AJ12" i="32"/>
  <c r="AR13" i="1"/>
  <c r="AR12" i="1"/>
  <c r="AJ11" i="32"/>
  <c r="AJ13" i="32"/>
  <c r="AR14" i="1"/>
  <c r="AR15" i="1"/>
  <c r="AJ14" i="32"/>
  <c r="AR9" i="1"/>
  <c r="AJ8" i="32"/>
  <c r="G28" i="32"/>
  <c r="I28" i="32"/>
  <c r="G21" i="32"/>
  <c r="G24" i="32"/>
  <c r="G23" i="32"/>
  <c r="I32" i="32"/>
  <c r="I29" i="32"/>
  <c r="I23" i="32"/>
  <c r="I31" i="32"/>
  <c r="G26" i="32"/>
  <c r="G27" i="32"/>
  <c r="G31" i="32"/>
  <c r="G22" i="32"/>
  <c r="G29" i="32"/>
  <c r="AN21" i="32"/>
  <c r="AN22" i="32" s="1"/>
  <c r="I27" i="32"/>
  <c r="G32" i="32"/>
  <c r="I25" i="32"/>
  <c r="I22" i="32"/>
  <c r="I26" i="32"/>
  <c r="E28" i="32"/>
  <c r="I24" i="32"/>
  <c r="G30" i="32"/>
  <c r="E30" i="32"/>
  <c r="E31" i="32" s="1"/>
  <c r="E32" i="32" s="1"/>
  <c r="I30" i="32"/>
  <c r="G25" i="32"/>
  <c r="I21" i="32"/>
  <c r="H17" i="32" l="1"/>
  <c r="J17" i="32"/>
  <c r="Y17" i="32" s="1"/>
  <c r="H16" i="32"/>
  <c r="J16" i="32"/>
  <c r="Y16" i="32" s="1"/>
  <c r="AL16" i="32"/>
  <c r="AL17" i="32"/>
  <c r="AL12" i="32"/>
  <c r="AL4" i="32"/>
  <c r="AL15" i="32"/>
  <c r="AL9" i="32"/>
  <c r="AL7" i="32"/>
  <c r="AL11" i="32"/>
  <c r="AL14" i="32"/>
  <c r="AL13" i="32"/>
  <c r="AL10" i="32"/>
  <c r="AN23" i="32"/>
  <c r="AL6" i="32"/>
  <c r="AL8" i="32"/>
  <c r="AL5" i="32"/>
  <c r="H15" i="32"/>
  <c r="H7" i="32"/>
  <c r="J6" i="32"/>
  <c r="Y6" i="32" s="1"/>
  <c r="J9" i="32"/>
  <c r="Y9" i="32" s="1"/>
  <c r="H13" i="32"/>
  <c r="J11" i="32"/>
  <c r="Y11" i="32" s="1"/>
  <c r="J5" i="32"/>
  <c r="Y5" i="32" s="1"/>
  <c r="J4" i="32"/>
  <c r="Y4" i="32" s="1"/>
  <c r="J13" i="32"/>
  <c r="H5" i="32"/>
  <c r="H4" i="32"/>
  <c r="G4" i="33" s="1"/>
  <c r="AH4" i="33" s="1"/>
  <c r="G4" i="34" s="1"/>
  <c r="AH4" i="34" s="1"/>
  <c r="G4" i="35" s="1"/>
  <c r="AH4" i="35" s="1"/>
  <c r="J10" i="32"/>
  <c r="Y10" i="32" s="1"/>
  <c r="H11" i="32"/>
  <c r="H12" i="32"/>
  <c r="H10" i="32"/>
  <c r="H9" i="32"/>
  <c r="J7" i="32"/>
  <c r="Y7" i="32" s="1"/>
  <c r="H8" i="32"/>
  <c r="H14" i="32"/>
  <c r="J14" i="32"/>
  <c r="Y14" i="32" s="1"/>
  <c r="H6" i="32"/>
  <c r="J8" i="32"/>
  <c r="Y8" i="32" s="1"/>
  <c r="J15" i="32"/>
  <c r="Y15" i="32" s="1"/>
  <c r="J12" i="32"/>
  <c r="Y12" i="32" s="1"/>
  <c r="S11" i="33"/>
  <c r="X11" i="33" s="1"/>
  <c r="S6" i="33"/>
  <c r="X6" i="33" s="1"/>
  <c r="Y13" i="32" l="1"/>
  <c r="AM16" i="32"/>
  <c r="AN16" i="32" s="1"/>
  <c r="AA16" i="32"/>
  <c r="AD16" i="32"/>
  <c r="AE16" i="32" s="1"/>
  <c r="AF16" i="32" s="1"/>
  <c r="AG16" i="32" s="1"/>
  <c r="AI16" i="32" s="1"/>
  <c r="I16" i="33" s="1"/>
  <c r="AA17" i="32"/>
  <c r="AD17" i="32"/>
  <c r="AE17" i="32" s="1"/>
  <c r="AF17" i="32" s="1"/>
  <c r="AG17" i="32" s="1"/>
  <c r="AI17" i="32" s="1"/>
  <c r="I17" i="33" s="1"/>
  <c r="AM17" i="32"/>
  <c r="AN17" i="32" s="1"/>
  <c r="AM12" i="32"/>
  <c r="AN12" i="32" s="1"/>
  <c r="AD12" i="32"/>
  <c r="AA12" i="32"/>
  <c r="C42" i="24"/>
  <c r="AD9" i="32"/>
  <c r="AM9" i="32"/>
  <c r="AN9" i="32" s="1"/>
  <c r="AA9" i="32"/>
  <c r="AD8" i="32"/>
  <c r="AM8" i="32"/>
  <c r="AN8" i="32" s="1"/>
  <c r="AA8" i="32"/>
  <c r="AD5" i="32"/>
  <c r="AE5" i="32" s="1"/>
  <c r="AF5" i="32" s="1"/>
  <c r="AG5" i="32" s="1"/>
  <c r="AI5" i="32" s="1"/>
  <c r="I5" i="33" s="1"/>
  <c r="AA5" i="32"/>
  <c r="AM5" i="32"/>
  <c r="AN5" i="32" s="1"/>
  <c r="AM7" i="32"/>
  <c r="AN7" i="32" s="1"/>
  <c r="AA7" i="32"/>
  <c r="AD7" i="32"/>
  <c r="AM15" i="32"/>
  <c r="AN15" i="32" s="1"/>
  <c r="AA15" i="32"/>
  <c r="AD15" i="32"/>
  <c r="AE15" i="32" s="1"/>
  <c r="AF15" i="32" s="1"/>
  <c r="AG15" i="32" s="1"/>
  <c r="AI15" i="32" s="1"/>
  <c r="I15" i="33" s="1"/>
  <c r="C43" i="24" s="1"/>
  <c r="AD14" i="32"/>
  <c r="AM14" i="32"/>
  <c r="AN14" i="32" s="1"/>
  <c r="AA14" i="32"/>
  <c r="AD6" i="32"/>
  <c r="AE6" i="32" s="1"/>
  <c r="AF6" i="32" s="1"/>
  <c r="AG6" i="32" s="1"/>
  <c r="AI6" i="32" s="1"/>
  <c r="I6" i="33" s="1"/>
  <c r="C33" i="24" s="1"/>
  <c r="AM6" i="32"/>
  <c r="AN6" i="32" s="1"/>
  <c r="AA6" i="32"/>
  <c r="AM11" i="32"/>
  <c r="AN11" i="32" s="1"/>
  <c r="AD11" i="32"/>
  <c r="AA11" i="32"/>
  <c r="AA4" i="32"/>
  <c r="AM4" i="32"/>
  <c r="AN4" i="32" s="1"/>
  <c r="AD4" i="32"/>
  <c r="AE4" i="32" s="1"/>
  <c r="AF4" i="32" s="1"/>
  <c r="AG4" i="32" s="1"/>
  <c r="AI4" i="32" s="1"/>
  <c r="I4" i="33" s="1"/>
  <c r="AM10" i="32"/>
  <c r="AN10" i="32" s="1"/>
  <c r="AA10" i="32"/>
  <c r="AD10" i="32"/>
  <c r="AK6" i="33"/>
  <c r="U11" i="33"/>
  <c r="AK11" i="33"/>
  <c r="AM13" i="32" l="1"/>
  <c r="AN13" i="32" s="1"/>
  <c r="AA13" i="32"/>
  <c r="AD13" i="32"/>
  <c r="AO17" i="32"/>
  <c r="AS18" i="1"/>
  <c r="AO16" i="32"/>
  <c r="AS17" i="1"/>
  <c r="AO10" i="32"/>
  <c r="AS11" i="1"/>
  <c r="AO8" i="32"/>
  <c r="AS9" i="1"/>
  <c r="AO14" i="32"/>
  <c r="AS15" i="1"/>
  <c r="AO9" i="32"/>
  <c r="AS10" i="1"/>
  <c r="AS12" i="1"/>
  <c r="AO11" i="32"/>
  <c r="E29" i="32"/>
  <c r="AE8" i="32" s="1"/>
  <c r="AF8" i="32" s="1"/>
  <c r="AG8" i="32" s="1"/>
  <c r="AI8" i="32" s="1"/>
  <c r="I8" i="33" s="1"/>
  <c r="AO15" i="32"/>
  <c r="AS16" i="1"/>
  <c r="AO6" i="32"/>
  <c r="AS7" i="1"/>
  <c r="AO7" i="32"/>
  <c r="AS8" i="1"/>
  <c r="AO5" i="32"/>
  <c r="AS6" i="1"/>
  <c r="AS5" i="1"/>
  <c r="AO4" i="32"/>
  <c r="AO12" i="32"/>
  <c r="AS13" i="1"/>
  <c r="U6" i="33"/>
  <c r="C32" i="24"/>
  <c r="C30" i="24"/>
  <c r="C37" i="24"/>
  <c r="S5" i="33"/>
  <c r="X5" i="33" s="1"/>
  <c r="S4" i="33"/>
  <c r="X4" i="33" s="1"/>
  <c r="S7" i="33"/>
  <c r="X7" i="33" s="1"/>
  <c r="AK7" i="33" s="1"/>
  <c r="AO13" i="32" l="1"/>
  <c r="AS14" i="1"/>
  <c r="AE10" i="32"/>
  <c r="AF10" i="32" s="1"/>
  <c r="AG10" i="32" s="1"/>
  <c r="AI10" i="32" s="1"/>
  <c r="I10" i="33" s="1"/>
  <c r="S10" i="33" s="1"/>
  <c r="X10" i="33" s="1"/>
  <c r="U10" i="33" s="1"/>
  <c r="AE14" i="32"/>
  <c r="AF14" i="32" s="1"/>
  <c r="AG14" i="32" s="1"/>
  <c r="AI14" i="32" s="1"/>
  <c r="I14" i="33" s="1"/>
  <c r="C41" i="24" s="1"/>
  <c r="AE9" i="32"/>
  <c r="AF9" i="32" s="1"/>
  <c r="AG9" i="32" s="1"/>
  <c r="AI9" i="32" s="1"/>
  <c r="I9" i="33" s="1"/>
  <c r="AE12" i="32"/>
  <c r="AF12" i="32" s="1"/>
  <c r="AG12" i="32" s="1"/>
  <c r="AI12" i="32" s="1"/>
  <c r="I12" i="33" s="1"/>
  <c r="C39" i="24" s="1"/>
  <c r="AE11" i="32"/>
  <c r="AF11" i="32" s="1"/>
  <c r="AG11" i="32" s="1"/>
  <c r="AI11" i="32" s="1"/>
  <c r="I11" i="33" s="1"/>
  <c r="C38" i="24" s="1"/>
  <c r="C35" i="24"/>
  <c r="S8" i="33"/>
  <c r="X8" i="33" s="1"/>
  <c r="AE13" i="32"/>
  <c r="AF13" i="32" s="1"/>
  <c r="AG13" i="32" s="1"/>
  <c r="AE7" i="32"/>
  <c r="AF7" i="32" s="1"/>
  <c r="AG7" i="32" s="1"/>
  <c r="AI7" i="32" s="1"/>
  <c r="I7" i="33" s="1"/>
  <c r="C34" i="24" s="1"/>
  <c r="C31" i="24"/>
  <c r="AK13" i="33"/>
  <c r="Z4" i="33"/>
  <c r="AK10" i="33"/>
  <c r="U7" i="33"/>
  <c r="Z11" i="33"/>
  <c r="Z6" i="33"/>
  <c r="Z7" i="33"/>
  <c r="AK4" i="33"/>
  <c r="U4" i="33"/>
  <c r="C36" i="24" l="1"/>
  <c r="S9" i="33"/>
  <c r="X9" i="33" s="1"/>
  <c r="AH13" i="32"/>
  <c r="G13" i="33" s="1"/>
  <c r="C40" i="24" s="1"/>
  <c r="AI13" i="32"/>
  <c r="I13" i="33" s="1"/>
  <c r="S13" i="33" s="1"/>
  <c r="X13" i="33" s="1"/>
  <c r="U13" i="33" s="1"/>
  <c r="S14" i="33"/>
  <c r="X14" i="33" s="1"/>
  <c r="AK14" i="33" s="1"/>
  <c r="S12" i="33"/>
  <c r="X12" i="33" s="1"/>
  <c r="U8" i="33"/>
  <c r="AK8" i="33"/>
  <c r="U5" i="33"/>
  <c r="AK5" i="33"/>
  <c r="Z13" i="33" l="1"/>
  <c r="Z10" i="33"/>
  <c r="Z9" i="33"/>
  <c r="U14" i="33"/>
  <c r="AH13" i="33"/>
  <c r="G13" i="34" s="1"/>
  <c r="Z14" i="33"/>
  <c r="Z8" i="33"/>
  <c r="Z12" i="33"/>
  <c r="Z5" i="33"/>
  <c r="AK9" i="33" l="1"/>
  <c r="U9" i="33"/>
  <c r="U12" i="33"/>
  <c r="AK12" i="33"/>
  <c r="E27" i="33"/>
  <c r="AN21" i="33" l="1"/>
  <c r="AN22" i="33" s="1"/>
  <c r="G28" i="33"/>
  <c r="I32" i="33"/>
  <c r="G27" i="33"/>
  <c r="G29" i="33"/>
  <c r="G25" i="33"/>
  <c r="G21" i="33"/>
  <c r="E28" i="33"/>
  <c r="G26" i="33"/>
  <c r="G30" i="33"/>
  <c r="G24" i="33"/>
  <c r="I31" i="33"/>
  <c r="G31" i="33"/>
  <c r="G32" i="33"/>
  <c r="G22" i="33"/>
  <c r="G23" i="33"/>
  <c r="E30" i="33"/>
  <c r="E31" i="33" s="1"/>
  <c r="E32" i="33" s="1"/>
  <c r="AL12" i="33" l="1"/>
  <c r="AL4" i="33"/>
  <c r="AL11" i="33"/>
  <c r="AL6" i="33"/>
  <c r="AL16" i="33"/>
  <c r="AL17" i="33"/>
  <c r="AL10" i="33"/>
  <c r="AL14" i="33"/>
  <c r="AL8" i="33"/>
  <c r="AL5" i="33"/>
  <c r="AL15" i="33"/>
  <c r="AL7" i="33"/>
  <c r="AL13" i="33"/>
  <c r="AN23" i="33"/>
  <c r="AL9" i="33"/>
  <c r="J15" i="33"/>
  <c r="Y15" i="33" s="1"/>
  <c r="H8" i="33"/>
  <c r="J16" i="33"/>
  <c r="Y16" i="33" s="1"/>
  <c r="J7" i="33"/>
  <c r="Y7" i="33" s="1"/>
  <c r="J6" i="33"/>
  <c r="Y6" i="33" s="1"/>
  <c r="H17" i="33"/>
  <c r="J5" i="33"/>
  <c r="Y5" i="33" s="1"/>
  <c r="J17" i="33"/>
  <c r="Y17" i="33" s="1"/>
  <c r="J14" i="33"/>
  <c r="Y14" i="33" s="1"/>
  <c r="J11" i="33"/>
  <c r="Y11" i="33" s="1"/>
  <c r="H6" i="33"/>
  <c r="J13" i="33"/>
  <c r="Y13" i="33" s="1"/>
  <c r="H12" i="33"/>
  <c r="H16" i="33"/>
  <c r="H9" i="33"/>
  <c r="H5" i="33"/>
  <c r="J4" i="33"/>
  <c r="Y4" i="33" s="1"/>
  <c r="J10" i="33"/>
  <c r="Y10" i="33" s="1"/>
  <c r="H13" i="33"/>
  <c r="H10" i="33"/>
  <c r="H7" i="33"/>
  <c r="H4" i="33"/>
  <c r="H15" i="33"/>
  <c r="H11" i="33"/>
  <c r="J12" i="33"/>
  <c r="Y12" i="33" s="1"/>
  <c r="H14" i="33"/>
  <c r="J8" i="33"/>
  <c r="Y8" i="33" s="1"/>
  <c r="J9" i="33"/>
  <c r="Y9" i="33" s="1"/>
  <c r="I28" i="33"/>
  <c r="I27" i="33"/>
  <c r="I29" i="33"/>
  <c r="I30" i="33"/>
  <c r="AD13" i="33" l="1"/>
  <c r="AA13" i="33"/>
  <c r="AM13" i="33"/>
  <c r="AN13" i="33" s="1"/>
  <c r="AD8" i="33"/>
  <c r="AA8" i="33"/>
  <c r="AM8" i="33"/>
  <c r="AN8" i="33" s="1"/>
  <c r="AD11" i="33"/>
  <c r="AE11" i="33" s="1"/>
  <c r="AF11" i="33" s="1"/>
  <c r="AG11" i="33" s="1"/>
  <c r="AI11" i="33" s="1"/>
  <c r="I11" i="34" s="1"/>
  <c r="AA11" i="33"/>
  <c r="AM11" i="33"/>
  <c r="AN11" i="33" s="1"/>
  <c r="AD14" i="33"/>
  <c r="AA14" i="33"/>
  <c r="AM14" i="33"/>
  <c r="AN14" i="33" s="1"/>
  <c r="AM17" i="33"/>
  <c r="AN17" i="33" s="1"/>
  <c r="AA17" i="33"/>
  <c r="AD17" i="33"/>
  <c r="AE17" i="33" s="1"/>
  <c r="AF17" i="33" s="1"/>
  <c r="AG17" i="33" s="1"/>
  <c r="AI17" i="33" s="1"/>
  <c r="I17" i="34" s="1"/>
  <c r="AD12" i="33"/>
  <c r="AA12" i="33"/>
  <c r="AM12" i="33"/>
  <c r="AN12" i="33" s="1"/>
  <c r="AD5" i="33"/>
  <c r="AM5" i="33"/>
  <c r="AN5" i="33" s="1"/>
  <c r="AA5" i="33"/>
  <c r="AD6" i="33"/>
  <c r="AE6" i="33" s="1"/>
  <c r="AF6" i="33" s="1"/>
  <c r="AG6" i="33" s="1"/>
  <c r="AI6" i="33" s="1"/>
  <c r="I6" i="34" s="1"/>
  <c r="AM6" i="33"/>
  <c r="AN6" i="33" s="1"/>
  <c r="AA6" i="33"/>
  <c r="AD10" i="33"/>
  <c r="AA10" i="33"/>
  <c r="AM10" i="33"/>
  <c r="AN10" i="33" s="1"/>
  <c r="AD7" i="33"/>
  <c r="AE7" i="33" s="1"/>
  <c r="AF7" i="33" s="1"/>
  <c r="AG7" i="33" s="1"/>
  <c r="AI7" i="33" s="1"/>
  <c r="I7" i="34" s="1"/>
  <c r="S7" i="34" s="1"/>
  <c r="X7" i="34" s="1"/>
  <c r="AA7" i="33"/>
  <c r="AM7" i="33"/>
  <c r="AN7" i="33" s="1"/>
  <c r="AD4" i="33"/>
  <c r="AE4" i="33" s="1"/>
  <c r="AF4" i="33" s="1"/>
  <c r="AG4" i="33" s="1"/>
  <c r="AI4" i="33" s="1"/>
  <c r="I4" i="34" s="1"/>
  <c r="AM4" i="33"/>
  <c r="AN4" i="33" s="1"/>
  <c r="AA4" i="33"/>
  <c r="AM16" i="33"/>
  <c r="AN16" i="33" s="1"/>
  <c r="AA16" i="33"/>
  <c r="AD16" i="33"/>
  <c r="AE16" i="33" s="1"/>
  <c r="AF16" i="33" s="1"/>
  <c r="AG16" i="33" s="1"/>
  <c r="AI16" i="33" s="1"/>
  <c r="I16" i="34" s="1"/>
  <c r="AM15" i="33"/>
  <c r="AN15" i="33" s="1"/>
  <c r="AD15" i="33"/>
  <c r="AE15" i="33" s="1"/>
  <c r="AF15" i="33" s="1"/>
  <c r="AG15" i="33" s="1"/>
  <c r="AI15" i="33" s="1"/>
  <c r="I15" i="34" s="1"/>
  <c r="AA15" i="33"/>
  <c r="AD9" i="33"/>
  <c r="AM9" i="33"/>
  <c r="AN9" i="33" s="1"/>
  <c r="AA9" i="33"/>
  <c r="S6" i="34"/>
  <c r="X6" i="34" s="1"/>
  <c r="S4" i="34"/>
  <c r="X4" i="34" s="1"/>
  <c r="AO17" i="33" l="1"/>
  <c r="AW18" i="1"/>
  <c r="AO16" i="33"/>
  <c r="AW17" i="1"/>
  <c r="AB16" i="33"/>
  <c r="AU17" i="1" s="1"/>
  <c r="AC16" i="33"/>
  <c r="AB17" i="33"/>
  <c r="AU18" i="1" s="1"/>
  <c r="AC17" i="33"/>
  <c r="AO14" i="33"/>
  <c r="AW15" i="1"/>
  <c r="AO10" i="33"/>
  <c r="AW11" i="1"/>
  <c r="AB10" i="33"/>
  <c r="AU11" i="1" s="1"/>
  <c r="AC10" i="33"/>
  <c r="AC14" i="33"/>
  <c r="AB14" i="33"/>
  <c r="AU15" i="1" s="1"/>
  <c r="AW12" i="1"/>
  <c r="AO11" i="33"/>
  <c r="AC6" i="33"/>
  <c r="AB6" i="33"/>
  <c r="AU7" i="1" s="1"/>
  <c r="AB11" i="33"/>
  <c r="AU12" i="1" s="1"/>
  <c r="AC11" i="33"/>
  <c r="AO8" i="33"/>
  <c r="AW9" i="1"/>
  <c r="AO6" i="33"/>
  <c r="AW7" i="1"/>
  <c r="AB5" i="33"/>
  <c r="AU6" i="1" s="1"/>
  <c r="AC5" i="33"/>
  <c r="AB8" i="33"/>
  <c r="AU9" i="1" s="1"/>
  <c r="AC8" i="33"/>
  <c r="AO5" i="33"/>
  <c r="AW6" i="1"/>
  <c r="AO13" i="33"/>
  <c r="AW14" i="1"/>
  <c r="AO4" i="33"/>
  <c r="AW5" i="1"/>
  <c r="AO12" i="33"/>
  <c r="AW13" i="1"/>
  <c r="AC13" i="33"/>
  <c r="AB13" i="33"/>
  <c r="AU14" i="1" s="1"/>
  <c r="AC12" i="33"/>
  <c r="AB12" i="33"/>
  <c r="AU13" i="1" s="1"/>
  <c r="AO15" i="33"/>
  <c r="AW16" i="1"/>
  <c r="AC9" i="33"/>
  <c r="AB9" i="33"/>
  <c r="AU10" i="1" s="1"/>
  <c r="AW10" i="1"/>
  <c r="AO9" i="33"/>
  <c r="AC4" i="33"/>
  <c r="E29" i="33"/>
  <c r="AE5" i="33" s="1"/>
  <c r="AF5" i="33" s="1"/>
  <c r="AG5" i="33" s="1"/>
  <c r="AI5" i="33" s="1"/>
  <c r="I5" i="34" s="1"/>
  <c r="AB4" i="33"/>
  <c r="AO7" i="33"/>
  <c r="AW8" i="1"/>
  <c r="AB15" i="33"/>
  <c r="AU16" i="1" s="1"/>
  <c r="AC15" i="33"/>
  <c r="AC7" i="33"/>
  <c r="AB7" i="33"/>
  <c r="AU8" i="1" s="1"/>
  <c r="Z4" i="34"/>
  <c r="Z6" i="34"/>
  <c r="AE10" i="33" l="1"/>
  <c r="AF10" i="33" s="1"/>
  <c r="AG10" i="33" s="1"/>
  <c r="AI10" i="33" s="1"/>
  <c r="I10" i="34" s="1"/>
  <c r="S10" i="34" s="1"/>
  <c r="X10" i="34" s="1"/>
  <c r="AE9" i="33"/>
  <c r="AF9" i="33" s="1"/>
  <c r="AG9" i="33" s="1"/>
  <c r="AI9" i="33" s="1"/>
  <c r="I9" i="34" s="1"/>
  <c r="S9" i="34" s="1"/>
  <c r="X9" i="34" s="1"/>
  <c r="AJ17" i="33"/>
  <c r="AJ17" i="34" s="1"/>
  <c r="AJ17" i="35" s="1"/>
  <c r="AV18" i="1"/>
  <c r="D18" i="1"/>
  <c r="C18" i="1"/>
  <c r="B18" i="1"/>
  <c r="AJ16" i="33"/>
  <c r="AJ16" i="34" s="1"/>
  <c r="AJ16" i="35" s="1"/>
  <c r="AV17" i="1"/>
  <c r="C17" i="1"/>
  <c r="D17" i="1"/>
  <c r="B17" i="1"/>
  <c r="AJ9" i="33"/>
  <c r="AV10" i="1"/>
  <c r="AJ8" i="33"/>
  <c r="AV9" i="1"/>
  <c r="AJ14" i="33"/>
  <c r="AV15" i="1"/>
  <c r="AV8" i="1"/>
  <c r="AJ7" i="33"/>
  <c r="AJ5" i="33"/>
  <c r="AJ5" i="34" s="1"/>
  <c r="AV6" i="1"/>
  <c r="AV11" i="1"/>
  <c r="AJ10" i="33"/>
  <c r="B16" i="1"/>
  <c r="C16" i="1"/>
  <c r="D16" i="1"/>
  <c r="AV14" i="1"/>
  <c r="AJ13" i="33"/>
  <c r="I21" i="33"/>
  <c r="I25" i="33"/>
  <c r="I26" i="33"/>
  <c r="AU5" i="1"/>
  <c r="I24" i="33"/>
  <c r="I23" i="33"/>
  <c r="AV12" i="1"/>
  <c r="AJ11" i="33"/>
  <c r="AJ11" i="34" s="1"/>
  <c r="C12" i="1"/>
  <c r="B12" i="1"/>
  <c r="D12" i="1"/>
  <c r="AE12" i="33"/>
  <c r="AF12" i="33" s="1"/>
  <c r="AG12" i="33" s="1"/>
  <c r="AI12" i="33" s="1"/>
  <c r="I12" i="34" s="1"/>
  <c r="S12" i="34" s="1"/>
  <c r="X12" i="34" s="1"/>
  <c r="AK12" i="34" s="1"/>
  <c r="AE13" i="33"/>
  <c r="AF13" i="33" s="1"/>
  <c r="AG13" i="33" s="1"/>
  <c r="AI13" i="33" s="1"/>
  <c r="I13" i="34" s="1"/>
  <c r="S13" i="34" s="1"/>
  <c r="X13" i="34" s="1"/>
  <c r="U13" i="34" s="1"/>
  <c r="AV5" i="1"/>
  <c r="AJ4" i="33"/>
  <c r="AJ6" i="33"/>
  <c r="AV7" i="1"/>
  <c r="AE8" i="33"/>
  <c r="AF8" i="33" s="1"/>
  <c r="AG8" i="33" s="1"/>
  <c r="AI8" i="33" s="1"/>
  <c r="I8" i="34" s="1"/>
  <c r="S8" i="34" s="1"/>
  <c r="X8" i="34" s="1"/>
  <c r="AV16" i="1"/>
  <c r="AJ15" i="33"/>
  <c r="AJ15" i="34" s="1"/>
  <c r="AJ12" i="33"/>
  <c r="AV13" i="1"/>
  <c r="C6" i="1"/>
  <c r="B6" i="1"/>
  <c r="D6" i="1"/>
  <c r="AE14" i="33"/>
  <c r="AF14" i="33" s="1"/>
  <c r="AG14" i="33" s="1"/>
  <c r="AI14" i="33" s="1"/>
  <c r="I14" i="34" s="1"/>
  <c r="S14" i="34" s="1"/>
  <c r="X14" i="34" s="1"/>
  <c r="U7" i="34"/>
  <c r="AK7" i="34"/>
  <c r="AC6" i="34"/>
  <c r="AB6" i="34"/>
  <c r="AY7" i="1" s="1"/>
  <c r="AK6" i="34"/>
  <c r="U6" i="34"/>
  <c r="AB4" i="34"/>
  <c r="AY5" i="1" s="1"/>
  <c r="AC4" i="34"/>
  <c r="AK4" i="34"/>
  <c r="U4" i="34"/>
  <c r="U9" i="34" l="1"/>
  <c r="AK9" i="34"/>
  <c r="Z10" i="34"/>
  <c r="Z8" i="34"/>
  <c r="BH18" i="1"/>
  <c r="BG18" i="1"/>
  <c r="BG17" i="1"/>
  <c r="BH17" i="1"/>
  <c r="U12" i="34"/>
  <c r="AK13" i="34"/>
  <c r="Z7" i="34"/>
  <c r="Z12" i="34"/>
  <c r="Z13" i="34"/>
  <c r="Z14" i="34"/>
  <c r="Z9" i="34"/>
  <c r="D7" i="1"/>
  <c r="B7" i="1"/>
  <c r="C7" i="1"/>
  <c r="AZ7" i="1"/>
  <c r="BH7" i="1" s="1"/>
  <c r="AJ6" i="34"/>
  <c r="AJ6" i="35" s="1"/>
  <c r="D5" i="1"/>
  <c r="B5" i="1"/>
  <c r="C5" i="1"/>
  <c r="AJ4" i="34"/>
  <c r="AZ5" i="1"/>
  <c r="AC10" i="34" l="1"/>
  <c r="AB10" i="34"/>
  <c r="AY11" i="1" s="1"/>
  <c r="U10" i="34"/>
  <c r="AK10" i="34"/>
  <c r="AK8" i="34"/>
  <c r="U8" i="34"/>
  <c r="AC8" i="34"/>
  <c r="AB8" i="34"/>
  <c r="AY9" i="1" s="1"/>
  <c r="BI18" i="1"/>
  <c r="BI17" i="1"/>
  <c r="AC7" i="34"/>
  <c r="AB7" i="34"/>
  <c r="AY8" i="1" s="1"/>
  <c r="E27" i="34"/>
  <c r="AC9" i="34"/>
  <c r="AB9" i="34"/>
  <c r="AY10" i="1" s="1"/>
  <c r="AK14" i="34"/>
  <c r="U14" i="34"/>
  <c r="AC14" i="34"/>
  <c r="AB14" i="34"/>
  <c r="AY15" i="1" s="1"/>
  <c r="AB13" i="34"/>
  <c r="AY14" i="1" s="1"/>
  <c r="AC13" i="34"/>
  <c r="AB12" i="34"/>
  <c r="AY13" i="1" s="1"/>
  <c r="AC12" i="34"/>
  <c r="BG7" i="1"/>
  <c r="BI7" i="1" s="1"/>
  <c r="B11" i="1" l="1"/>
  <c r="C11" i="1"/>
  <c r="D11" i="1"/>
  <c r="AZ11" i="1"/>
  <c r="AJ10" i="34"/>
  <c r="D9" i="1"/>
  <c r="B9" i="1"/>
  <c r="C9" i="1"/>
  <c r="AJ8" i="34"/>
  <c r="AZ9" i="1"/>
  <c r="AN21" i="34"/>
  <c r="AN22" i="34" s="1"/>
  <c r="AJ14" i="34"/>
  <c r="AZ15" i="1"/>
  <c r="C14" i="1"/>
  <c r="D14" i="1"/>
  <c r="B14" i="1"/>
  <c r="D15" i="1"/>
  <c r="B15" i="1"/>
  <c r="C15" i="1"/>
  <c r="B10" i="1"/>
  <c r="C10" i="1"/>
  <c r="D10" i="1"/>
  <c r="E30" i="34"/>
  <c r="E31" i="34" s="1"/>
  <c r="E32" i="34" s="1"/>
  <c r="AZ13" i="1"/>
  <c r="AJ12" i="34"/>
  <c r="G28" i="34"/>
  <c r="I28" i="34"/>
  <c r="G32" i="34"/>
  <c r="I26" i="34"/>
  <c r="G30" i="34"/>
  <c r="I25" i="34"/>
  <c r="G31" i="34"/>
  <c r="G24" i="34"/>
  <c r="I30" i="34"/>
  <c r="G25" i="34"/>
  <c r="I22" i="34"/>
  <c r="G22" i="34"/>
  <c r="G23" i="34"/>
  <c r="I23" i="34"/>
  <c r="G27" i="34"/>
  <c r="I32" i="34"/>
  <c r="G21" i="34"/>
  <c r="I29" i="34"/>
  <c r="G26" i="34"/>
  <c r="I27" i="34"/>
  <c r="I21" i="34"/>
  <c r="I31" i="34"/>
  <c r="G29" i="34"/>
  <c r="I24" i="34"/>
  <c r="E28" i="34"/>
  <c r="B8" i="1"/>
  <c r="D8" i="1"/>
  <c r="C8" i="1"/>
  <c r="AJ9" i="34"/>
  <c r="AZ10" i="1"/>
  <c r="D13" i="1"/>
  <c r="C13" i="1"/>
  <c r="B13" i="1"/>
  <c r="AJ13" i="34"/>
  <c r="AZ14" i="1"/>
  <c r="AZ8" i="1"/>
  <c r="AJ7" i="34"/>
  <c r="AN23" i="34" l="1"/>
  <c r="AL10" i="34"/>
  <c r="AL15" i="34"/>
  <c r="AL6" i="34"/>
  <c r="AL8" i="34"/>
  <c r="AL12" i="34"/>
  <c r="AL14" i="34"/>
  <c r="AL9" i="34"/>
  <c r="AL5" i="34"/>
  <c r="AL17" i="34"/>
  <c r="AL16" i="34"/>
  <c r="AL13" i="34"/>
  <c r="AL7" i="34"/>
  <c r="B20" i="1"/>
  <c r="AL11" i="34"/>
  <c r="AL4" i="34"/>
  <c r="D20" i="1"/>
  <c r="H9" i="34"/>
  <c r="J14" i="34"/>
  <c r="Y14" i="34" s="1"/>
  <c r="J4" i="34"/>
  <c r="Y4" i="34" s="1"/>
  <c r="H7" i="34"/>
  <c r="J16" i="34"/>
  <c r="Y16" i="34" s="1"/>
  <c r="H4" i="34"/>
  <c r="H8" i="34"/>
  <c r="H11" i="34"/>
  <c r="J13" i="34"/>
  <c r="Y13" i="34" s="1"/>
  <c r="H14" i="34"/>
  <c r="J7" i="34"/>
  <c r="Y7" i="34" s="1"/>
  <c r="J5" i="34"/>
  <c r="Y5" i="34" s="1"/>
  <c r="H16" i="34"/>
  <c r="J11" i="34"/>
  <c r="Y11" i="34" s="1"/>
  <c r="H17" i="34"/>
  <c r="H12" i="34"/>
  <c r="J17" i="34"/>
  <c r="Y17" i="34" s="1"/>
  <c r="H13" i="34"/>
  <c r="J10" i="34"/>
  <c r="Y10" i="34" s="1"/>
  <c r="J6" i="34"/>
  <c r="Y6" i="34" s="1"/>
  <c r="J8" i="34"/>
  <c r="Y8" i="34" s="1"/>
  <c r="H10" i="34"/>
  <c r="J15" i="34"/>
  <c r="Y15" i="34" s="1"/>
  <c r="H15" i="34"/>
  <c r="J9" i="34"/>
  <c r="Y9" i="34" s="1"/>
  <c r="H6" i="34"/>
  <c r="H5" i="34"/>
  <c r="J12" i="34"/>
  <c r="Y12" i="34" s="1"/>
  <c r="C20" i="1"/>
  <c r="AM13" i="34" l="1"/>
  <c r="AN13" i="34" s="1"/>
  <c r="AO13" i="34" s="1"/>
  <c r="AD11" i="34"/>
  <c r="AE11" i="34" s="1"/>
  <c r="AF11" i="34" s="1"/>
  <c r="AG11" i="34" s="1"/>
  <c r="AI11" i="34" s="1"/>
  <c r="I11" i="35" s="1"/>
  <c r="S11" i="35" s="1"/>
  <c r="X11" i="35" s="1"/>
  <c r="AM11" i="34"/>
  <c r="AN11" i="34" s="1"/>
  <c r="AA11" i="34"/>
  <c r="AM7" i="34"/>
  <c r="AN7" i="34" s="1"/>
  <c r="AD7" i="34"/>
  <c r="AM5" i="34"/>
  <c r="AN5" i="34" s="1"/>
  <c r="AA5" i="34"/>
  <c r="AD5" i="34"/>
  <c r="AE5" i="34" s="1"/>
  <c r="AF5" i="34" s="1"/>
  <c r="AG5" i="34" s="1"/>
  <c r="AI5" i="34" s="1"/>
  <c r="I5" i="35" s="1"/>
  <c r="S5" i="35" s="1"/>
  <c r="X5" i="35" s="1"/>
  <c r="AM9" i="34"/>
  <c r="AN9" i="34" s="1"/>
  <c r="AD9" i="34"/>
  <c r="AA9" i="34"/>
  <c r="AD13" i="34"/>
  <c r="AM15" i="34"/>
  <c r="AN15" i="34" s="1"/>
  <c r="AA15" i="34"/>
  <c r="AD15" i="34"/>
  <c r="AE15" i="34" s="1"/>
  <c r="AF15" i="34" s="1"/>
  <c r="AG15" i="34" s="1"/>
  <c r="AI15" i="34" s="1"/>
  <c r="I15" i="35" s="1"/>
  <c r="AA13" i="34"/>
  <c r="AA10" i="34"/>
  <c r="AD10" i="34"/>
  <c r="AE10" i="34" s="1"/>
  <c r="AF10" i="34" s="1"/>
  <c r="AG10" i="34" s="1"/>
  <c r="AI10" i="34" s="1"/>
  <c r="I10" i="35" s="1"/>
  <c r="S10" i="35" s="1"/>
  <c r="X10" i="35" s="1"/>
  <c r="AM10" i="34"/>
  <c r="AN10" i="34" s="1"/>
  <c r="AD6" i="34"/>
  <c r="AE6" i="34" s="1"/>
  <c r="AF6" i="34" s="1"/>
  <c r="AG6" i="34" s="1"/>
  <c r="AA6" i="34"/>
  <c r="AM6" i="34"/>
  <c r="AN6" i="34" s="1"/>
  <c r="AM17" i="34"/>
  <c r="AN17" i="34" s="1"/>
  <c r="AA17" i="34"/>
  <c r="AD17" i="34"/>
  <c r="AE17" i="34" s="1"/>
  <c r="AF17" i="34" s="1"/>
  <c r="AG17" i="34" s="1"/>
  <c r="AI17" i="34" s="1"/>
  <c r="I17" i="35" s="1"/>
  <c r="AM4" i="34"/>
  <c r="AN4" i="34" s="1"/>
  <c r="AD4" i="34"/>
  <c r="AE4" i="34" s="1"/>
  <c r="AF4" i="34" s="1"/>
  <c r="AG4" i="34" s="1"/>
  <c r="AA4" i="34"/>
  <c r="AD14" i="34"/>
  <c r="AM14" i="34"/>
  <c r="AN14" i="34" s="1"/>
  <c r="AA14" i="34"/>
  <c r="AM8" i="34"/>
  <c r="AN8" i="34" s="1"/>
  <c r="AD8" i="34"/>
  <c r="AE8" i="34" s="1"/>
  <c r="AF8" i="34" s="1"/>
  <c r="AG8" i="34" s="1"/>
  <c r="AA8" i="34"/>
  <c r="AD16" i="34"/>
  <c r="AE16" i="34" s="1"/>
  <c r="AF16" i="34" s="1"/>
  <c r="AG16" i="34" s="1"/>
  <c r="AI16" i="34" s="1"/>
  <c r="I16" i="35" s="1"/>
  <c r="AM16" i="34"/>
  <c r="AN16" i="34" s="1"/>
  <c r="AA16" i="34"/>
  <c r="AA7" i="34"/>
  <c r="AA12" i="34"/>
  <c r="AM12" i="34"/>
  <c r="AN12" i="34" s="1"/>
  <c r="AD12" i="34"/>
  <c r="AH13" i="34"/>
  <c r="G13" i="35" s="1"/>
  <c r="AH13" i="35" s="1"/>
  <c r="S15" i="35"/>
  <c r="X15" i="35" s="1"/>
  <c r="Z10" i="35" l="1"/>
  <c r="BA14" i="1"/>
  <c r="AO17" i="34"/>
  <c r="BA18" i="1"/>
  <c r="AO16" i="34"/>
  <c r="BA17" i="1"/>
  <c r="AO8" i="34"/>
  <c r="BA9" i="1"/>
  <c r="AO14" i="34"/>
  <c r="BA15" i="1"/>
  <c r="AO6" i="34"/>
  <c r="BA7" i="1"/>
  <c r="AO9" i="34"/>
  <c r="BA10" i="1"/>
  <c r="E29" i="34"/>
  <c r="AO10" i="34"/>
  <c r="BA11" i="1"/>
  <c r="AO12" i="34"/>
  <c r="BA13" i="1"/>
  <c r="AO5" i="34"/>
  <c r="BA6" i="1"/>
  <c r="AO7" i="34"/>
  <c r="BA8" i="1"/>
  <c r="AO4" i="34"/>
  <c r="BA5" i="1"/>
  <c r="BA16" i="1"/>
  <c r="AO15" i="34"/>
  <c r="AO11" i="34"/>
  <c r="BA12" i="1"/>
  <c r="U5" i="35"/>
  <c r="AK5" i="35"/>
  <c r="AI8" i="34"/>
  <c r="I8" i="35" s="1"/>
  <c r="AI6" i="34"/>
  <c r="I6" i="35" s="1"/>
  <c r="AI4" i="34"/>
  <c r="I4" i="35" s="1"/>
  <c r="U10" i="35" l="1"/>
  <c r="AK10" i="35"/>
  <c r="AC10" i="35"/>
  <c r="AB10" i="35"/>
  <c r="BC11" i="1" s="1"/>
  <c r="AE13" i="34"/>
  <c r="AF13" i="34" s="1"/>
  <c r="AG13" i="34" s="1"/>
  <c r="AI13" i="34" s="1"/>
  <c r="I13" i="35" s="1"/>
  <c r="S13" i="35" s="1"/>
  <c r="X13" i="35" s="1"/>
  <c r="AE7" i="34"/>
  <c r="AF7" i="34" s="1"/>
  <c r="AG7" i="34" s="1"/>
  <c r="AI7" i="34" s="1"/>
  <c r="I7" i="35" s="1"/>
  <c r="S7" i="35" s="1"/>
  <c r="X7" i="35" s="1"/>
  <c r="AE12" i="34"/>
  <c r="AF12" i="34" s="1"/>
  <c r="AG12" i="34" s="1"/>
  <c r="AI12" i="34" s="1"/>
  <c r="I12" i="35" s="1"/>
  <c r="S12" i="35" s="1"/>
  <c r="X12" i="35" s="1"/>
  <c r="AK12" i="35" s="1"/>
  <c r="AE9" i="34"/>
  <c r="AF9" i="34" s="1"/>
  <c r="AG9" i="34" s="1"/>
  <c r="AI9" i="34" s="1"/>
  <c r="I9" i="35" s="1"/>
  <c r="S9" i="35" s="1"/>
  <c r="X9" i="35" s="1"/>
  <c r="AE14" i="34"/>
  <c r="AF14" i="34" s="1"/>
  <c r="AG14" i="34" s="1"/>
  <c r="AI14" i="34" s="1"/>
  <c r="I14" i="35" s="1"/>
  <c r="S14" i="35" s="1"/>
  <c r="X14" i="35" s="1"/>
  <c r="S8" i="35"/>
  <c r="X8" i="35" s="1"/>
  <c r="S4" i="35"/>
  <c r="X4" i="35" s="1"/>
  <c r="U15" i="35"/>
  <c r="AK15" i="35"/>
  <c r="AK11" i="35"/>
  <c r="U11" i="35"/>
  <c r="AK8" i="35" l="1"/>
  <c r="BD11" i="1"/>
  <c r="AJ10" i="35"/>
  <c r="U8" i="35"/>
  <c r="Z5" i="35"/>
  <c r="U12" i="35"/>
  <c r="Z12" i="35"/>
  <c r="AC12" i="35" s="1"/>
  <c r="BD13" i="1" s="1"/>
  <c r="BH13" i="1" s="1"/>
  <c r="Z13" i="35"/>
  <c r="AC13" i="35" s="1"/>
  <c r="Z8" i="35"/>
  <c r="AC8" i="35" s="1"/>
  <c r="Z4" i="35"/>
  <c r="AB4" i="35" s="1"/>
  <c r="BC5" i="1" s="1"/>
  <c r="AK9" i="35"/>
  <c r="Z15" i="35"/>
  <c r="AB15" i="35" s="1"/>
  <c r="BC16" i="1" s="1"/>
  <c r="Z14" i="35"/>
  <c r="AB14" i="35" s="1"/>
  <c r="BC15" i="1" s="1"/>
  <c r="Z9" i="35"/>
  <c r="AB9" i="35" s="1"/>
  <c r="BC10" i="1" s="1"/>
  <c r="Z7" i="35"/>
  <c r="AC7" i="35" s="1"/>
  <c r="AK4" i="35"/>
  <c r="U4" i="35"/>
  <c r="U14" i="35"/>
  <c r="AK14" i="35"/>
  <c r="AK13" i="35"/>
  <c r="U13" i="35"/>
  <c r="U7" i="35"/>
  <c r="AK7" i="35"/>
  <c r="BH11" i="1" l="1"/>
  <c r="BG11" i="1"/>
  <c r="Z11" i="35"/>
  <c r="AB11" i="35" s="1"/>
  <c r="BC12" i="1" s="1"/>
  <c r="BG13" i="1"/>
  <c r="AC5" i="35"/>
  <c r="AB5" i="35"/>
  <c r="BC6" i="1" s="1"/>
  <c r="AB12" i="35"/>
  <c r="BC13" i="1" s="1"/>
  <c r="AJ12" i="35"/>
  <c r="AB8" i="35"/>
  <c r="BC9" i="1" s="1"/>
  <c r="AC4" i="35"/>
  <c r="BD5" i="1" s="1"/>
  <c r="U9" i="35"/>
  <c r="AB7" i="35"/>
  <c r="BC8" i="1" s="1"/>
  <c r="AC15" i="35"/>
  <c r="AJ15" i="35" s="1"/>
  <c r="AC14" i="35"/>
  <c r="BD15" i="1" s="1"/>
  <c r="BH15" i="1" s="1"/>
  <c r="AB13" i="35"/>
  <c r="BC14" i="1" s="1"/>
  <c r="AC9" i="35"/>
  <c r="BD10" i="1" s="1"/>
  <c r="BH10" i="1" s="1"/>
  <c r="AJ13" i="35"/>
  <c r="BD14" i="1"/>
  <c r="BH14" i="1" s="1"/>
  <c r="BD9" i="1"/>
  <c r="BH9" i="1" s="1"/>
  <c r="AJ8" i="35"/>
  <c r="BD8" i="1"/>
  <c r="BH8" i="1" s="1"/>
  <c r="AJ7" i="35"/>
  <c r="BI11" i="1" l="1"/>
  <c r="E27" i="35"/>
  <c r="AC11" i="35"/>
  <c r="AJ11" i="35" s="1"/>
  <c r="BH5" i="1"/>
  <c r="BG5" i="1"/>
  <c r="BG8" i="1"/>
  <c r="BG15" i="1"/>
  <c r="BI13" i="1"/>
  <c r="BD6" i="1"/>
  <c r="BH6" i="1" s="1"/>
  <c r="AJ5" i="35"/>
  <c r="BG14" i="1"/>
  <c r="BI14" i="1" s="1"/>
  <c r="BG10" i="1"/>
  <c r="BI10" i="1" s="1"/>
  <c r="BG9" i="1"/>
  <c r="BI9" i="1" s="1"/>
  <c r="AJ4" i="35"/>
  <c r="BD16" i="1"/>
  <c r="BH16" i="1" s="1"/>
  <c r="AJ14" i="35"/>
  <c r="AJ9" i="35"/>
  <c r="G31" i="35" l="1"/>
  <c r="G29" i="35"/>
  <c r="G28" i="35"/>
  <c r="G21" i="35"/>
  <c r="G30" i="35"/>
  <c r="E28" i="35"/>
  <c r="E30" i="35"/>
  <c r="E31" i="35" s="1"/>
  <c r="G27" i="35"/>
  <c r="I32" i="35"/>
  <c r="G22" i="35"/>
  <c r="I31" i="35"/>
  <c r="AN21" i="35"/>
  <c r="AN22" i="35" s="1"/>
  <c r="G24" i="35"/>
  <c r="G26" i="35"/>
  <c r="G25" i="35"/>
  <c r="I27" i="35"/>
  <c r="I30" i="35"/>
  <c r="G23" i="35"/>
  <c r="I28" i="35"/>
  <c r="I29" i="35"/>
  <c r="I25" i="35"/>
  <c r="I26" i="35"/>
  <c r="G32" i="35"/>
  <c r="BD12" i="1"/>
  <c r="BH12" i="1" s="1"/>
  <c r="BG6" i="1"/>
  <c r="BI15" i="1"/>
  <c r="BI8" i="1"/>
  <c r="BI5" i="1"/>
  <c r="BG16" i="1"/>
  <c r="J14" i="35" l="1"/>
  <c r="Y14" i="35" s="1"/>
  <c r="AM14" i="35" s="1"/>
  <c r="AN14" i="35" s="1"/>
  <c r="AO14" i="35" s="1"/>
  <c r="H12" i="35"/>
  <c r="H9" i="35"/>
  <c r="J12" i="35"/>
  <c r="Y12" i="35" s="1"/>
  <c r="AA12" i="35" s="1"/>
  <c r="J15" i="35"/>
  <c r="Y15" i="35" s="1"/>
  <c r="H4" i="35"/>
  <c r="H13" i="35"/>
  <c r="H10" i="35"/>
  <c r="J13" i="35"/>
  <c r="Y13" i="35" s="1"/>
  <c r="H11" i="35"/>
  <c r="AL7" i="35"/>
  <c r="AL9" i="35"/>
  <c r="AL14" i="35"/>
  <c r="AL5" i="35"/>
  <c r="AL11" i="35"/>
  <c r="AL8" i="35"/>
  <c r="AL15" i="35"/>
  <c r="E32" i="35"/>
  <c r="J5" i="35"/>
  <c r="Y5" i="35" s="1"/>
  <c r="AA5" i="35" s="1"/>
  <c r="H17" i="35"/>
  <c r="J17" i="35"/>
  <c r="Y17" i="35" s="1"/>
  <c r="H16" i="35"/>
  <c r="J16" i="35"/>
  <c r="Y16" i="35" s="1"/>
  <c r="H14" i="35"/>
  <c r="J10" i="35"/>
  <c r="Y10" i="35" s="1"/>
  <c r="H8" i="35"/>
  <c r="H5" i="35"/>
  <c r="J6" i="35"/>
  <c r="Y6" i="35" s="1"/>
  <c r="H6" i="35"/>
  <c r="H7" i="35"/>
  <c r="J9" i="35"/>
  <c r="Y9" i="35" s="1"/>
  <c r="J7" i="35"/>
  <c r="Y7" i="35" s="1"/>
  <c r="AM7" i="35" s="1"/>
  <c r="AN7" i="35" s="1"/>
  <c r="BE8" i="1" s="1"/>
  <c r="BL8" i="1" s="1"/>
  <c r="H15" i="35"/>
  <c r="J8" i="35"/>
  <c r="Y8" i="35" s="1"/>
  <c r="AM8" i="35" s="1"/>
  <c r="AN8" i="35" s="1"/>
  <c r="AO8" i="35" s="1"/>
  <c r="J4" i="35"/>
  <c r="Y4" i="35" s="1"/>
  <c r="J11" i="35"/>
  <c r="Y11" i="35" s="1"/>
  <c r="AL17" i="35"/>
  <c r="AN23" i="35"/>
  <c r="AL12" i="35"/>
  <c r="AL4" i="35"/>
  <c r="AL6" i="35"/>
  <c r="AL13" i="35"/>
  <c r="AL10" i="35"/>
  <c r="AL16" i="35"/>
  <c r="BG12" i="1"/>
  <c r="BI12" i="1" s="1"/>
  <c r="I22" i="35"/>
  <c r="I21" i="35"/>
  <c r="I23" i="35"/>
  <c r="BI16" i="1"/>
  <c r="BI6" i="1"/>
  <c r="AA10" i="35" l="1"/>
  <c r="AM10" i="35"/>
  <c r="AN10" i="35" s="1"/>
  <c r="AD10" i="35"/>
  <c r="AE10" i="35" s="1"/>
  <c r="AF10" i="35" s="1"/>
  <c r="AG10" i="35" s="1"/>
  <c r="AI10" i="35" s="1"/>
  <c r="AD11" i="35"/>
  <c r="AA11" i="35"/>
  <c r="AM11" i="35"/>
  <c r="AN11" i="35" s="1"/>
  <c r="AD6" i="35"/>
  <c r="AE6" i="35" s="1"/>
  <c r="AF6" i="35" s="1"/>
  <c r="AG6" i="35" s="1"/>
  <c r="AI6" i="35" s="1"/>
  <c r="AA6" i="35"/>
  <c r="AM6" i="35"/>
  <c r="AN6" i="35" s="1"/>
  <c r="AA8" i="35"/>
  <c r="AD8" i="35"/>
  <c r="AE8" i="35" s="1"/>
  <c r="AF8" i="35" s="1"/>
  <c r="AG8" i="35" s="1"/>
  <c r="AI8" i="35" s="1"/>
  <c r="AM4" i="35"/>
  <c r="AN4" i="35" s="1"/>
  <c r="AA4" i="35"/>
  <c r="AD4" i="35"/>
  <c r="AA14" i="35"/>
  <c r="AD14" i="35"/>
  <c r="AE14" i="35" s="1"/>
  <c r="AF14" i="35" s="1"/>
  <c r="AG14" i="35" s="1"/>
  <c r="AI14" i="35" s="1"/>
  <c r="AM12" i="35"/>
  <c r="AN12" i="35" s="1"/>
  <c r="AD12" i="35"/>
  <c r="AE12" i="35" s="1"/>
  <c r="AF12" i="35" s="1"/>
  <c r="AG12" i="35" s="1"/>
  <c r="AI12" i="35" s="1"/>
  <c r="AM15" i="35"/>
  <c r="AN15" i="35" s="1"/>
  <c r="AA15" i="35"/>
  <c r="AD15" i="35"/>
  <c r="AE15" i="35" s="1"/>
  <c r="AF15" i="35" s="1"/>
  <c r="AG15" i="35" s="1"/>
  <c r="AI15" i="35" s="1"/>
  <c r="AM13" i="35"/>
  <c r="AN13" i="35" s="1"/>
  <c r="AD13" i="35"/>
  <c r="AA13" i="35"/>
  <c r="AM5" i="35"/>
  <c r="AN5" i="35" s="1"/>
  <c r="AD5" i="35"/>
  <c r="AD17" i="35"/>
  <c r="AE17" i="35" s="1"/>
  <c r="AF17" i="35" s="1"/>
  <c r="AG17" i="35" s="1"/>
  <c r="AI17" i="35" s="1"/>
  <c r="AM17" i="35"/>
  <c r="AN17" i="35" s="1"/>
  <c r="AA17" i="35"/>
  <c r="AD9" i="35"/>
  <c r="AE9" i="35" s="1"/>
  <c r="AF9" i="35" s="1"/>
  <c r="AG9" i="35" s="1"/>
  <c r="AI9" i="35" s="1"/>
  <c r="AM9" i="35"/>
  <c r="AN9" i="35" s="1"/>
  <c r="AA9" i="35"/>
  <c r="AA7" i="35"/>
  <c r="AD7" i="35"/>
  <c r="AE7" i="35" s="1"/>
  <c r="AF7" i="35" s="1"/>
  <c r="AG7" i="35" s="1"/>
  <c r="AI7" i="35" s="1"/>
  <c r="AA16" i="35"/>
  <c r="AM16" i="35"/>
  <c r="AN16" i="35" s="1"/>
  <c r="AD16" i="35"/>
  <c r="AE16" i="35" s="1"/>
  <c r="AF16" i="35" s="1"/>
  <c r="AG16" i="35" s="1"/>
  <c r="AI16" i="35" s="1"/>
  <c r="E29" i="35"/>
  <c r="BK8" i="1"/>
  <c r="BE9" i="1"/>
  <c r="BL9" i="1" s="1"/>
  <c r="AO7" i="35"/>
  <c r="BE15" i="1"/>
  <c r="BL15" i="1" s="1"/>
  <c r="AO10" i="35" l="1"/>
  <c r="BE11" i="1"/>
  <c r="AO13" i="35"/>
  <c r="BE14" i="1"/>
  <c r="AO5" i="35"/>
  <c r="BE6" i="1"/>
  <c r="AO17" i="35"/>
  <c r="BE18" i="1"/>
  <c r="AO11" i="35"/>
  <c r="BE12" i="1"/>
  <c r="BE5" i="1"/>
  <c r="AO4" i="35"/>
  <c r="BE7" i="1"/>
  <c r="AO6" i="35"/>
  <c r="AO12" i="35"/>
  <c r="BE13" i="1"/>
  <c r="AO9" i="35"/>
  <c r="BE10" i="1"/>
  <c r="BE16" i="1"/>
  <c r="AO15" i="35"/>
  <c r="AO16" i="35"/>
  <c r="BE17" i="1"/>
  <c r="AE13" i="35"/>
  <c r="AF13" i="35" s="1"/>
  <c r="AG13" i="35" s="1"/>
  <c r="AI13" i="35" s="1"/>
  <c r="AE11" i="35"/>
  <c r="AF11" i="35" s="1"/>
  <c r="AG11" i="35" s="1"/>
  <c r="AI11" i="35" s="1"/>
  <c r="AE5" i="35"/>
  <c r="AF5" i="35" s="1"/>
  <c r="AG5" i="35" s="1"/>
  <c r="AI5" i="35" s="1"/>
  <c r="AE4" i="35"/>
  <c r="AF4" i="35" s="1"/>
  <c r="AG4" i="35" s="1"/>
  <c r="AI4" i="35" s="1"/>
  <c r="BK9" i="1"/>
  <c r="BM8" i="1"/>
  <c r="BK15" i="1"/>
  <c r="BL6" i="1" l="1"/>
  <c r="BK6" i="1"/>
  <c r="BL18" i="1"/>
  <c r="BK18" i="1"/>
  <c r="BL12" i="1"/>
  <c r="BK12" i="1"/>
  <c r="BL11" i="1"/>
  <c r="BK11" i="1"/>
  <c r="BL14" i="1"/>
  <c r="BK14" i="1"/>
  <c r="BK5" i="1"/>
  <c r="BL5" i="1"/>
  <c r="BL7" i="1"/>
  <c r="BK7" i="1"/>
  <c r="BL13" i="1"/>
  <c r="BK13" i="1"/>
  <c r="BL10" i="1"/>
  <c r="BK10" i="1"/>
  <c r="BK16" i="1"/>
  <c r="BL16" i="1"/>
  <c r="BL17" i="1"/>
  <c r="BK17" i="1"/>
  <c r="BJ12" i="1"/>
  <c r="BJ13" i="1"/>
  <c r="BJ18" i="1"/>
  <c r="BJ14" i="1"/>
  <c r="BJ6" i="1"/>
  <c r="BJ8" i="1"/>
  <c r="BJ9" i="1"/>
  <c r="BJ11" i="1"/>
  <c r="BJ15" i="1"/>
  <c r="BJ5" i="1"/>
  <c r="BJ17" i="1"/>
  <c r="BJ10" i="1"/>
  <c r="BJ16" i="1"/>
  <c r="BJ7" i="1"/>
  <c r="BM15" i="1"/>
  <c r="BM9" i="1"/>
  <c r="BM12" i="1" l="1"/>
  <c r="BM18" i="1"/>
  <c r="BM6" i="1"/>
  <c r="BM14" i="1"/>
  <c r="BM11" i="1"/>
  <c r="BM10" i="1"/>
  <c r="BM13" i="1"/>
  <c r="BM5" i="1"/>
  <c r="BM7" i="1"/>
  <c r="BM17" i="1"/>
  <c r="BM16" i="1"/>
  <c r="I6" i="1"/>
  <c r="B5" i="2" s="1"/>
  <c r="BN17" i="1" l="1"/>
  <c r="BN6" i="1"/>
  <c r="BN5" i="1"/>
  <c r="BN9" i="1"/>
  <c r="BN15" i="1"/>
  <c r="BN18" i="1"/>
  <c r="BN7" i="1"/>
  <c r="BN13" i="1"/>
  <c r="BN10" i="1"/>
  <c r="BN12" i="1"/>
  <c r="BN8" i="1"/>
  <c r="BN16" i="1"/>
  <c r="BN11" i="1"/>
  <c r="BN14" i="1"/>
  <c r="AP5" i="2"/>
  <c r="B17" i="25"/>
  <c r="Z17" i="25" s="1"/>
  <c r="B5" i="30"/>
  <c r="B5" i="28"/>
  <c r="B5" i="34"/>
  <c r="B5" i="26"/>
  <c r="B5" i="35"/>
  <c r="B5" i="31"/>
  <c r="B5" i="29"/>
  <c r="B31" i="24"/>
  <c r="B6" i="23"/>
  <c r="BF6" i="1"/>
  <c r="B10" i="24"/>
  <c r="B5" i="33"/>
  <c r="B5" i="32"/>
  <c r="B5" i="27"/>
  <c r="W17" i="25" l="1"/>
  <c r="AC17" i="25"/>
  <c r="AP5" i="31"/>
  <c r="AP5" i="28"/>
  <c r="AP5" i="27"/>
  <c r="AP5" i="30"/>
  <c r="AP5" i="33"/>
  <c r="I22" i="33" s="1"/>
  <c r="AP5" i="35"/>
  <c r="I24" i="35" s="1"/>
  <c r="AP5" i="26"/>
  <c r="Q17" i="25"/>
  <c r="T17" i="25"/>
  <c r="AP5" i="34"/>
  <c r="AP5" i="32"/>
  <c r="AP5" i="29"/>
  <c r="I11" i="1" l="1"/>
  <c r="B10" i="35" s="1"/>
  <c r="M23" i="35" s="1"/>
  <c r="M22" i="35" l="1"/>
  <c r="K22" i="35"/>
  <c r="M25" i="35"/>
  <c r="K25" i="35"/>
  <c r="K26" i="35"/>
  <c r="K30" i="35"/>
  <c r="M27" i="35"/>
  <c r="K27" i="35"/>
  <c r="M30" i="35"/>
  <c r="M26" i="35"/>
  <c r="M24" i="35"/>
  <c r="B10" i="33"/>
  <c r="B12" i="23"/>
  <c r="K24" i="35"/>
  <c r="B37" i="24"/>
  <c r="B16" i="24"/>
  <c r="B10" i="29"/>
  <c r="K31" i="35"/>
  <c r="M31" i="35"/>
  <c r="M28" i="35"/>
  <c r="K28" i="35"/>
  <c r="K29" i="35"/>
  <c r="M32" i="35"/>
  <c r="K21" i="35"/>
  <c r="M29" i="35"/>
  <c r="K23" i="35"/>
  <c r="M21" i="35"/>
  <c r="K32" i="35"/>
  <c r="AP10" i="35"/>
  <c r="B10" i="31"/>
  <c r="M23" i="31" s="1"/>
  <c r="B10" i="32"/>
  <c r="M23" i="32" s="1"/>
  <c r="B10" i="28"/>
  <c r="M23" i="28" s="1"/>
  <c r="B10" i="30"/>
  <c r="M23" i="30" s="1"/>
  <c r="B10" i="2"/>
  <c r="M23" i="2" s="1"/>
  <c r="B10" i="27"/>
  <c r="M23" i="27" s="1"/>
  <c r="B10" i="34"/>
  <c r="M23" i="34" s="1"/>
  <c r="B23" i="25"/>
  <c r="Z23" i="25" s="1"/>
  <c r="B10" i="26"/>
  <c r="M23" i="26" s="1"/>
  <c r="BF11" i="1"/>
  <c r="M30" i="29" l="1"/>
  <c r="M31" i="29"/>
  <c r="M23" i="29"/>
  <c r="K29" i="29"/>
  <c r="M27" i="29"/>
  <c r="M22" i="29"/>
  <c r="M32" i="29"/>
  <c r="K30" i="29"/>
  <c r="M28" i="29"/>
  <c r="M21" i="29"/>
  <c r="K21" i="29"/>
  <c r="M29" i="29"/>
  <c r="K31" i="29"/>
  <c r="K32" i="29"/>
  <c r="M26" i="29"/>
  <c r="AP10" i="29"/>
  <c r="W23" i="25"/>
  <c r="AC23" i="25"/>
  <c r="K27" i="33"/>
  <c r="M23" i="33"/>
  <c r="M32" i="33"/>
  <c r="AP10" i="33"/>
  <c r="M28" i="33"/>
  <c r="K32" i="33"/>
  <c r="K24" i="33"/>
  <c r="K25" i="33"/>
  <c r="K28" i="33"/>
  <c r="K21" i="33"/>
  <c r="K26" i="33"/>
  <c r="M26" i="33"/>
  <c r="K23" i="33"/>
  <c r="M22" i="33"/>
  <c r="M27" i="33"/>
  <c r="K22" i="33"/>
  <c r="K29" i="33"/>
  <c r="M29" i="33"/>
  <c r="M24" i="33"/>
  <c r="M30" i="33"/>
  <c r="K30" i="33"/>
  <c r="K25" i="27"/>
  <c r="M25" i="27"/>
  <c r="K23" i="27"/>
  <c r="K22" i="27"/>
  <c r="M27" i="27"/>
  <c r="M22" i="27"/>
  <c r="M29" i="27"/>
  <c r="K27" i="27"/>
  <c r="K29" i="27"/>
  <c r="M22" i="32"/>
  <c r="M24" i="32"/>
  <c r="K24" i="32"/>
  <c r="M26" i="32"/>
  <c r="K26" i="32"/>
  <c r="K22" i="32"/>
  <c r="D4" i="24"/>
  <c r="D25" i="24"/>
  <c r="K22" i="31"/>
  <c r="K28" i="31"/>
  <c r="K24" i="31"/>
  <c r="M29" i="31"/>
  <c r="M22" i="31"/>
  <c r="M27" i="31"/>
  <c r="M26" i="31"/>
  <c r="K27" i="31"/>
  <c r="K26" i="31"/>
  <c r="K29" i="31"/>
  <c r="M28" i="31"/>
  <c r="M24" i="31"/>
  <c r="M27" i="34"/>
  <c r="M21" i="34"/>
  <c r="K23" i="34"/>
  <c r="K27" i="34"/>
  <c r="K21" i="34"/>
  <c r="M21" i="33"/>
  <c r="K23" i="30"/>
  <c r="K25" i="30"/>
  <c r="M25" i="30"/>
  <c r="K26" i="30"/>
  <c r="M26" i="30"/>
  <c r="M24" i="30"/>
  <c r="K24" i="30"/>
  <c r="K21" i="26"/>
  <c r="K22" i="26"/>
  <c r="M21" i="26"/>
  <c r="M22" i="26"/>
  <c r="K23" i="26"/>
  <c r="K26" i="28"/>
  <c r="M31" i="28"/>
  <c r="K31" i="28"/>
  <c r="M28" i="28"/>
  <c r="K27" i="28"/>
  <c r="M22" i="28"/>
  <c r="M26" i="28"/>
  <c r="M21" i="28"/>
  <c r="K22" i="28"/>
  <c r="K21" i="28"/>
  <c r="K28" i="28"/>
  <c r="M27" i="28"/>
  <c r="K31" i="33"/>
  <c r="M25" i="33"/>
  <c r="M31" i="33"/>
  <c r="M24" i="29"/>
  <c r="K23" i="29"/>
  <c r="K24" i="29"/>
  <c r="K27" i="29"/>
  <c r="M25" i="29"/>
  <c r="K22" i="29"/>
  <c r="K26" i="29"/>
  <c r="K25" i="29"/>
  <c r="K28" i="29"/>
  <c r="K30" i="34"/>
  <c r="K29" i="34"/>
  <c r="M25" i="34"/>
  <c r="M30" i="34"/>
  <c r="K24" i="34"/>
  <c r="M32" i="34"/>
  <c r="K22" i="34"/>
  <c r="M26" i="34"/>
  <c r="M29" i="34"/>
  <c r="K25" i="34"/>
  <c r="M24" i="34"/>
  <c r="K31" i="34"/>
  <c r="K28" i="34"/>
  <c r="M31" i="34"/>
  <c r="K32" i="34"/>
  <c r="AP10" i="34"/>
  <c r="M28" i="34"/>
  <c r="K26" i="34"/>
  <c r="M22" i="34"/>
  <c r="M30" i="2"/>
  <c r="K30" i="2"/>
  <c r="K27" i="2"/>
  <c r="M25" i="2"/>
  <c r="K32" i="2"/>
  <c r="K26" i="2"/>
  <c r="K21" i="2"/>
  <c r="M22" i="2"/>
  <c r="M26" i="2"/>
  <c r="K24" i="2"/>
  <c r="K22" i="2"/>
  <c r="M31" i="2"/>
  <c r="M21" i="2"/>
  <c r="M24" i="2"/>
  <c r="M32" i="2"/>
  <c r="K23" i="2"/>
  <c r="K25" i="2"/>
  <c r="K28" i="2"/>
  <c r="K29" i="2"/>
  <c r="K31" i="2"/>
  <c r="AP10" i="2"/>
  <c r="M27" i="2"/>
  <c r="M28" i="2"/>
  <c r="M29" i="2"/>
  <c r="M32" i="32"/>
  <c r="M27" i="32"/>
  <c r="K25" i="32"/>
  <c r="M30" i="32"/>
  <c r="K30" i="32"/>
  <c r="AP10" i="32"/>
  <c r="M31" i="32"/>
  <c r="M21" i="32"/>
  <c r="K21" i="32"/>
  <c r="K28" i="32"/>
  <c r="M29" i="32"/>
  <c r="M25" i="32"/>
  <c r="K32" i="32"/>
  <c r="K23" i="32"/>
  <c r="M28" i="32"/>
  <c r="K29" i="32"/>
  <c r="K27" i="32"/>
  <c r="K31" i="32"/>
  <c r="K30" i="30"/>
  <c r="M28" i="30"/>
  <c r="M30" i="30"/>
  <c r="M32" i="30"/>
  <c r="K32" i="30"/>
  <c r="K31" i="30"/>
  <c r="AP10" i="30"/>
  <c r="K22" i="30"/>
  <c r="M27" i="30"/>
  <c r="K28" i="30"/>
  <c r="M29" i="30"/>
  <c r="M31" i="30"/>
  <c r="K29" i="30"/>
  <c r="K21" i="30"/>
  <c r="M21" i="30"/>
  <c r="M22" i="30"/>
  <c r="K27" i="30"/>
  <c r="K21" i="31"/>
  <c r="M31" i="31"/>
  <c r="M21" i="31"/>
  <c r="K23" i="31"/>
  <c r="M30" i="31"/>
  <c r="K32" i="31"/>
  <c r="K25" i="31"/>
  <c r="AP10" i="31"/>
  <c r="K30" i="31"/>
  <c r="K31" i="31"/>
  <c r="M25" i="31"/>
  <c r="M32" i="31"/>
  <c r="T23" i="25"/>
  <c r="Q23" i="25"/>
  <c r="K30" i="26"/>
  <c r="K27" i="26"/>
  <c r="M25" i="26"/>
  <c r="K24" i="26"/>
  <c r="K29" i="26"/>
  <c r="M32" i="26"/>
  <c r="K25" i="26"/>
  <c r="M26" i="26"/>
  <c r="M27" i="26"/>
  <c r="M24" i="26"/>
  <c r="M29" i="26"/>
  <c r="AP10" i="26"/>
  <c r="K32" i="26"/>
  <c r="K31" i="26"/>
  <c r="M28" i="26"/>
  <c r="K28" i="26"/>
  <c r="M31" i="26"/>
  <c r="K26" i="26"/>
  <c r="M30" i="26"/>
  <c r="K29" i="28"/>
  <c r="K24" i="28"/>
  <c r="M32" i="28"/>
  <c r="K23" i="28"/>
  <c r="K32" i="28"/>
  <c r="M29" i="28"/>
  <c r="AP10" i="28"/>
  <c r="M24" i="28"/>
  <c r="K25" i="28"/>
  <c r="K30" i="28"/>
  <c r="M30" i="28"/>
  <c r="M25" i="28"/>
  <c r="M26" i="27"/>
  <c r="K31" i="27"/>
  <c r="M30" i="27"/>
  <c r="K21" i="27"/>
  <c r="M28" i="27"/>
  <c r="K32" i="27"/>
  <c r="M21" i="27"/>
  <c r="AP10" i="27"/>
  <c r="I24" i="27" s="1"/>
  <c r="K30" i="27"/>
  <c r="M31" i="27"/>
  <c r="K28" i="27"/>
  <c r="K26" i="27"/>
  <c r="M32" i="27"/>
  <c r="K11" i="1"/>
  <c r="D10" i="34" s="1"/>
  <c r="K24" i="27" l="1"/>
  <c r="M24" i="27"/>
  <c r="N35" i="24"/>
  <c r="G34" i="24"/>
  <c r="I37" i="24"/>
  <c r="K33" i="24"/>
  <c r="R40" i="24"/>
  <c r="E39" i="24"/>
  <c r="K30" i="24"/>
  <c r="K38" i="24"/>
  <c r="P38" i="24"/>
  <c r="M35" i="24"/>
  <c r="J43" i="24"/>
  <c r="M37" i="24"/>
  <c r="Q43" i="24"/>
  <c r="N32" i="24"/>
  <c r="P33" i="24"/>
  <c r="I34" i="24"/>
  <c r="F32" i="24"/>
  <c r="J39" i="24"/>
  <c r="F41" i="24"/>
  <c r="G30" i="24"/>
  <c r="N39" i="24"/>
  <c r="N40" i="24"/>
  <c r="J37" i="24"/>
  <c r="F42" i="24"/>
  <c r="P31" i="24"/>
  <c r="R33" i="24"/>
  <c r="L43" i="24"/>
  <c r="O38" i="24"/>
  <c r="Q34" i="24"/>
  <c r="K41" i="24"/>
  <c r="O30" i="24"/>
  <c r="E42" i="24"/>
  <c r="O43" i="24"/>
  <c r="O37" i="24"/>
  <c r="P42" i="24"/>
  <c r="E33" i="24"/>
  <c r="P40" i="24"/>
  <c r="L41" i="24"/>
  <c r="J40" i="24"/>
  <c r="F40" i="24"/>
  <c r="M40" i="24"/>
  <c r="L39" i="24"/>
  <c r="N36" i="24"/>
  <c r="F35" i="24"/>
  <c r="F34" i="24"/>
  <c r="O41" i="24"/>
  <c r="L32" i="24"/>
  <c r="E30" i="24"/>
  <c r="M31" i="24"/>
  <c r="L31" i="24"/>
  <c r="E40" i="24"/>
  <c r="Q42" i="24"/>
  <c r="E31" i="24"/>
  <c r="G32" i="24"/>
  <c r="K31" i="24"/>
  <c r="G35" i="24"/>
  <c r="F43" i="24"/>
  <c r="F39" i="24"/>
  <c r="N37" i="24"/>
  <c r="I35" i="24"/>
  <c r="I39" i="24"/>
  <c r="F36" i="24"/>
  <c r="N30" i="24"/>
  <c r="K36" i="24"/>
  <c r="P37" i="24"/>
  <c r="L33" i="24"/>
  <c r="M34" i="24"/>
  <c r="M39" i="24"/>
  <c r="R35" i="24"/>
  <c r="H32" i="24"/>
  <c r="J31" i="24"/>
  <c r="N41" i="24"/>
  <c r="M30" i="24"/>
  <c r="O32" i="24"/>
  <c r="J32" i="24"/>
  <c r="K39" i="24"/>
  <c r="O31" i="24"/>
  <c r="H37" i="24"/>
  <c r="M43" i="24"/>
  <c r="K35" i="24"/>
  <c r="H35" i="24"/>
  <c r="E34" i="24"/>
  <c r="I36" i="24"/>
  <c r="G40" i="24"/>
  <c r="M38" i="24"/>
  <c r="H33" i="24"/>
  <c r="P35" i="24"/>
  <c r="E37" i="24"/>
  <c r="Q31" i="24"/>
  <c r="O35" i="24"/>
  <c r="F38" i="24"/>
  <c r="J30" i="24"/>
  <c r="J41" i="24"/>
  <c r="N43" i="24"/>
  <c r="N42" i="24"/>
  <c r="O42" i="24"/>
  <c r="Q36" i="24"/>
  <c r="Q39" i="24"/>
  <c r="L42" i="24"/>
  <c r="H30" i="24"/>
  <c r="K40" i="24"/>
  <c r="M33" i="24"/>
  <c r="J34" i="24"/>
  <c r="P34" i="24"/>
  <c r="L34" i="24"/>
  <c r="R41" i="24"/>
  <c r="H42" i="24"/>
  <c r="F33" i="24"/>
  <c r="P32" i="24"/>
  <c r="H39" i="24"/>
  <c r="K34" i="24"/>
  <c r="H43" i="24"/>
  <c r="K32" i="24"/>
  <c r="R37" i="24"/>
  <c r="L36" i="24"/>
  <c r="K43" i="24"/>
  <c r="N34" i="24"/>
  <c r="R36" i="24"/>
  <c r="F31" i="24"/>
  <c r="R31" i="24"/>
  <c r="F37" i="24"/>
  <c r="H40" i="24"/>
  <c r="J36" i="24"/>
  <c r="R30" i="24"/>
  <c r="M32" i="24"/>
  <c r="E36" i="24"/>
  <c r="O40" i="24"/>
  <c r="O39" i="24"/>
  <c r="L38" i="24"/>
  <c r="F30" i="24"/>
  <c r="G37" i="24"/>
  <c r="I38" i="24"/>
  <c r="N38" i="24"/>
  <c r="I32" i="24"/>
  <c r="R38" i="24"/>
  <c r="H36" i="24"/>
  <c r="Q35" i="24"/>
  <c r="G42" i="24"/>
  <c r="G36" i="24"/>
  <c r="P41" i="24"/>
  <c r="I41" i="24"/>
  <c r="O33" i="24"/>
  <c r="P39" i="24"/>
  <c r="E35" i="24"/>
  <c r="N31" i="24"/>
  <c r="G39" i="24"/>
  <c r="N33" i="24"/>
  <c r="E43" i="24"/>
  <c r="G38" i="24"/>
  <c r="Q41" i="24"/>
  <c r="O34" i="24"/>
  <c r="I42" i="24"/>
  <c r="I30" i="24"/>
  <c r="P30" i="24"/>
  <c r="I43" i="24"/>
  <c r="Q37" i="24"/>
  <c r="J35" i="24"/>
  <c r="G43" i="24"/>
  <c r="R34" i="24"/>
  <c r="R42" i="24"/>
  <c r="I40" i="24"/>
  <c r="J42" i="24"/>
  <c r="I33" i="24"/>
  <c r="M36" i="24"/>
  <c r="H41" i="24"/>
  <c r="P43" i="24"/>
  <c r="H34" i="24"/>
  <c r="E41" i="24"/>
  <c r="H38" i="24"/>
  <c r="G31" i="24"/>
  <c r="G41" i="24"/>
  <c r="Q38" i="24"/>
  <c r="O36" i="24"/>
  <c r="I31" i="24"/>
  <c r="K37" i="24"/>
  <c r="Q40" i="24"/>
  <c r="R43" i="24"/>
  <c r="H31" i="24"/>
  <c r="R39" i="24"/>
  <c r="J38" i="24"/>
  <c r="L30" i="24"/>
  <c r="E32" i="24"/>
  <c r="J33" i="24"/>
  <c r="Q33" i="24"/>
  <c r="K42" i="24"/>
  <c r="L35" i="24"/>
  <c r="M41" i="24"/>
  <c r="E38" i="24"/>
  <c r="Q32" i="24"/>
  <c r="L40" i="24"/>
  <c r="P36" i="24"/>
  <c r="Q30" i="24"/>
  <c r="R32" i="24"/>
  <c r="G33" i="24"/>
  <c r="L37" i="24"/>
  <c r="M42" i="24"/>
  <c r="G10" i="24"/>
  <c r="J10" i="24"/>
  <c r="F9" i="24"/>
  <c r="E21" i="24"/>
  <c r="I15" i="24"/>
  <c r="N11" i="24"/>
  <c r="O19" i="24"/>
  <c r="Q15" i="24"/>
  <c r="J14" i="24"/>
  <c r="J18" i="24"/>
  <c r="L14" i="24"/>
  <c r="R21" i="24"/>
  <c r="M15" i="24"/>
  <c r="P17" i="24"/>
  <c r="E13" i="24"/>
  <c r="N10" i="24"/>
  <c r="L10" i="24"/>
  <c r="E11" i="24"/>
  <c r="J9" i="24"/>
  <c r="F17" i="24"/>
  <c r="I16" i="24"/>
  <c r="K17" i="24"/>
  <c r="J21" i="24"/>
  <c r="R14" i="24"/>
  <c r="Q17" i="24"/>
  <c r="R15" i="24"/>
  <c r="G9" i="24"/>
  <c r="G15" i="24"/>
  <c r="N12" i="24"/>
  <c r="K20" i="24"/>
  <c r="K15" i="24"/>
  <c r="F10" i="24"/>
  <c r="Q9" i="24"/>
  <c r="G16" i="24"/>
  <c r="Q14" i="24"/>
  <c r="H13" i="24"/>
  <c r="G11" i="24"/>
  <c r="H14" i="24"/>
  <c r="I12" i="24"/>
  <c r="O20" i="24"/>
  <c r="O18" i="24"/>
  <c r="R13" i="24"/>
  <c r="M14" i="24"/>
  <c r="R17" i="24"/>
  <c r="H12" i="24"/>
  <c r="K9" i="24"/>
  <c r="G13" i="24"/>
  <c r="G14" i="24"/>
  <c r="O16" i="24"/>
  <c r="H16" i="24"/>
  <c r="I22" i="24"/>
  <c r="E16" i="24"/>
  <c r="R12" i="24"/>
  <c r="K10" i="24"/>
  <c r="I17" i="24"/>
  <c r="M17" i="24"/>
  <c r="N20" i="24"/>
  <c r="O21" i="24"/>
  <c r="M10" i="24"/>
  <c r="I19" i="24"/>
  <c r="P9" i="24"/>
  <c r="E19" i="24"/>
  <c r="P10" i="24"/>
  <c r="E22" i="24"/>
  <c r="E20" i="24"/>
  <c r="E17" i="24"/>
  <c r="K18" i="24"/>
  <c r="E12" i="24"/>
  <c r="G19" i="24"/>
  <c r="H22" i="24"/>
  <c r="E14" i="24"/>
  <c r="K22" i="24"/>
  <c r="E15" i="24"/>
  <c r="Q18" i="24"/>
  <c r="H20" i="24"/>
  <c r="M9" i="24"/>
  <c r="J13" i="24"/>
  <c r="G12" i="24"/>
  <c r="H19" i="24"/>
  <c r="I14" i="24"/>
  <c r="F18" i="24"/>
  <c r="F19" i="24"/>
  <c r="J22" i="24"/>
  <c r="I13" i="24"/>
  <c r="P19" i="24"/>
  <c r="Q19" i="24"/>
  <c r="Q22" i="24"/>
  <c r="Q21" i="24"/>
  <c r="R20" i="24"/>
  <c r="G17" i="24"/>
  <c r="N16" i="24"/>
  <c r="F11" i="24"/>
  <c r="R10" i="24"/>
  <c r="F22" i="24"/>
  <c r="R9" i="24"/>
  <c r="L9" i="24"/>
  <c r="M11" i="24"/>
  <c r="R19" i="24"/>
  <c r="O10" i="24"/>
  <c r="J19" i="24"/>
  <c r="L22" i="24"/>
  <c r="N22" i="24"/>
  <c r="F13" i="24"/>
  <c r="P11" i="24"/>
  <c r="L11" i="24"/>
  <c r="K14" i="24"/>
  <c r="P13" i="24"/>
  <c r="F15" i="24"/>
  <c r="L13" i="24"/>
  <c r="N19" i="24"/>
  <c r="G18" i="24"/>
  <c r="Q13" i="24"/>
  <c r="I10" i="24"/>
  <c r="I9" i="24"/>
  <c r="R18" i="24"/>
  <c r="N14" i="24"/>
  <c r="K11" i="24"/>
  <c r="R16" i="24"/>
  <c r="E9" i="24"/>
  <c r="L18" i="24"/>
  <c r="J11" i="24"/>
  <c r="O9" i="24"/>
  <c r="O12" i="24"/>
  <c r="M13" i="24"/>
  <c r="N13" i="24"/>
  <c r="H11" i="24"/>
  <c r="H15" i="24"/>
  <c r="L16" i="24"/>
  <c r="N18" i="24"/>
  <c r="F12" i="24"/>
  <c r="G20" i="24"/>
  <c r="I18" i="24"/>
  <c r="H10" i="24"/>
  <c r="J20" i="24"/>
  <c r="P16" i="24"/>
  <c r="Q11" i="24"/>
  <c r="Q16" i="24"/>
  <c r="E18" i="24"/>
  <c r="M21" i="24"/>
  <c r="P21" i="24"/>
  <c r="H21" i="24"/>
  <c r="L20" i="24"/>
  <c r="F20" i="24"/>
  <c r="J12" i="24"/>
  <c r="J15" i="24"/>
  <c r="F21" i="24"/>
  <c r="E10" i="24"/>
  <c r="M19" i="24"/>
  <c r="H17" i="24"/>
  <c r="R11" i="24"/>
  <c r="H18" i="24"/>
  <c r="O17" i="24"/>
  <c r="Q12" i="24"/>
  <c r="R22" i="24"/>
  <c r="K21" i="24"/>
  <c r="Q20" i="24"/>
  <c r="N21" i="24"/>
  <c r="G21" i="24"/>
  <c r="O13" i="24"/>
  <c r="K16" i="24"/>
  <c r="I21" i="24"/>
  <c r="J17" i="24"/>
  <c r="I20" i="24"/>
  <c r="M22" i="24"/>
  <c r="H9" i="24"/>
  <c r="K13" i="24"/>
  <c r="K12" i="24"/>
  <c r="L19" i="24"/>
  <c r="L17" i="24"/>
  <c r="N17" i="24"/>
  <c r="P14" i="24"/>
  <c r="O15" i="24"/>
  <c r="O22" i="24"/>
  <c r="M12" i="24"/>
  <c r="I11" i="24"/>
  <c r="P22" i="24"/>
  <c r="P18" i="24"/>
  <c r="O14" i="24"/>
  <c r="O11" i="24"/>
  <c r="L12" i="24"/>
  <c r="F14" i="24"/>
  <c r="L15" i="24"/>
  <c r="M16" i="24"/>
  <c r="N15" i="24"/>
  <c r="L21" i="24"/>
  <c r="P15" i="24"/>
  <c r="Q10" i="24"/>
  <c r="N9" i="24"/>
  <c r="G22" i="24"/>
  <c r="M20" i="24"/>
  <c r="F16" i="24"/>
  <c r="P12" i="24"/>
  <c r="M18" i="24"/>
  <c r="K19" i="24"/>
  <c r="P20" i="24"/>
  <c r="J16" i="24"/>
  <c r="D10" i="30"/>
  <c r="D10" i="26"/>
  <c r="D10" i="2"/>
  <c r="D10" i="31"/>
  <c r="D10" i="28"/>
  <c r="D10" i="27"/>
  <c r="D10" i="33"/>
  <c r="D10" i="29"/>
  <c r="D10" i="32"/>
  <c r="D10" i="35"/>
  <c r="K6" i="1"/>
  <c r="D5" i="29" s="1"/>
  <c r="D5" i="27" l="1"/>
  <c r="D5" i="33"/>
  <c r="D5" i="31"/>
  <c r="D5" i="32"/>
  <c r="D5" i="35"/>
  <c r="D5" i="28"/>
  <c r="D5" i="30"/>
  <c r="D5" i="34"/>
  <c r="D5" i="2"/>
  <c r="D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 VanOtteren</author>
  </authors>
  <commentList>
    <comment ref="N3" authorId="0" shapeId="0" xr:uid="{87D5E661-CD24-A349-89CA-69AFDE72B7A5}">
      <text>
        <r>
          <rPr>
            <b/>
            <sz val="10"/>
            <color rgb="FF000000"/>
            <rFont val="Tahoma"/>
            <family val="2"/>
          </rPr>
          <t>Delayed to Sunday start due to rain all day.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tc={48142509-ECFE-D34C-AD4B-2B2FEB30A3A7}</author>
    <author>tc={B54FA381-015B-3346-B8F0-33A37A6C14A0}</author>
    <author>tc={3CE772F8-00F4-024C-8DBE-533865E52CC3}</author>
  </authors>
  <commentList>
    <comment ref="O3" authorId="0" shapeId="0" xr:uid="{48142509-ECFE-D34C-AD4B-2B2FEB30A3A7}">
      <text>
        <t>[Threaded comment]
Your version of Excel allows you to read this threaded comment; however, any edits to it will get removed if the file is opened in a newer version of Excel. Learn more: https://go.microsoft.com/fwlink/?linkid=870924
Comment:
    This counts the number of boats who have a finish time</t>
      </text>
    </comment>
    <comment ref="Y3" authorId="1" shapeId="0" xr:uid="{B54FA381-015B-3346-B8F0-33A37A6C14A0}">
      <text>
        <t>[Threaded comment]
Your version of Excel allows you to read this threaded comment; however, any edits to it will get removed if the file is opened in a newer version of Excel. Learn more: https://go.microsoft.com/fwlink/?linkid=870924
Comment:
    Uses actual elapsed time, multiplied by the appropriate time correction factor (Spin vs. No Spin)</t>
      </text>
    </comment>
    <comment ref="AD3" authorId="2" shapeId="0" xr:uid="{3CE772F8-00F4-024C-8DBE-533865E52CC3}">
      <text>
        <t>[Threaded comment]
Your version of Excel allows you to read this threaded comment; however, any edits to it will get removed if the file is opened in a newer version of Excel. Learn more: https://go.microsoft.com/fwlink/?linkid=870924
Comment:
    Based upon corrected time based upon time on time scoring.</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tc={E082E513-69F9-BE4E-9F5E-409869AF7F25}</author>
    <author>tc={08409660-3D81-564E-AF04-C53A9CA05016}</author>
    <author>tc={1300E993-3C1B-9248-A003-296F608A9F3E}</author>
  </authors>
  <commentList>
    <comment ref="O3" authorId="0" shapeId="0" xr:uid="{E082E513-69F9-BE4E-9F5E-409869AF7F25}">
      <text>
        <t>[Threaded comment]
Your version of Excel allows you to read this threaded comment; however, any edits to it will get removed if the file is opened in a newer version of Excel. Learn more: https://go.microsoft.com/fwlink/?linkid=870924
Comment:
    This counts the number of boats who have a finish time</t>
      </text>
    </comment>
    <comment ref="Y3" authorId="1" shapeId="0" xr:uid="{08409660-3D81-564E-AF04-C53A9CA05016}">
      <text>
        <t>[Threaded comment]
Your version of Excel allows you to read this threaded comment; however, any edits to it will get removed if the file is opened in a newer version of Excel. Learn more: https://go.microsoft.com/fwlink/?linkid=870924
Comment:
    Uses actual elapsed time, multiplied by the appropriate time correction factor (Spin vs. No Spin)</t>
      </text>
    </comment>
    <comment ref="AD3" authorId="2" shapeId="0" xr:uid="{1300E993-3C1B-9248-A003-296F608A9F3E}">
      <text>
        <t>[Threaded comment]
Your version of Excel allows you to read this threaded comment; however, any edits to it will get removed if the file is opened in a newer version of Excel. Learn more: https://go.microsoft.com/fwlink/?linkid=870924
Comment:
    Based upon corrected time based upon time on time scoring.</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tc={E4084B25-3A9A-4049-83BA-256FC08A9958}</author>
    <author>tc={A65CA705-EB3E-7E4A-874A-D3ABD4460958}</author>
    <author>tc={EDD34997-FEFB-9049-A89C-1FD6163A1230}</author>
  </authors>
  <commentList>
    <comment ref="O3" authorId="0" shapeId="0" xr:uid="{E4084B25-3A9A-4049-83BA-256FC08A9958}">
      <text>
        <t>[Threaded comment]
Your version of Excel allows you to read this threaded comment; however, any edits to it will get removed if the file is opened in a newer version of Excel. Learn more: https://go.microsoft.com/fwlink/?linkid=870924
Comment:
    This counts the number of boats who have a finish time</t>
      </text>
    </comment>
    <comment ref="Y3" authorId="1" shapeId="0" xr:uid="{A65CA705-EB3E-7E4A-874A-D3ABD4460958}">
      <text>
        <t>[Threaded comment]
Your version of Excel allows you to read this threaded comment; however, any edits to it will get removed if the file is opened in a newer version of Excel. Learn more: https://go.microsoft.com/fwlink/?linkid=870924
Comment:
    Uses actual elapsed time, multiplied by the appropriate time correction factor (Spin vs. No Spin)</t>
      </text>
    </comment>
    <comment ref="AD3" authorId="2" shapeId="0" xr:uid="{EDD34997-FEFB-9049-A89C-1FD6163A1230}">
      <text>
        <t>[Threaded comment]
Your version of Excel allows you to read this threaded comment; however, any edits to it will get removed if the file is opened in a newer version of Excel. Learn more: https://go.microsoft.com/fwlink/?linkid=870924
Comment:
    Based upon corrected time based upon time on time scoring.</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7" authorId="0" shapeId="0" xr:uid="{444875F5-8D88-D941-884A-B08564D16FC5}">
      <text>
        <r>
          <rPr>
            <b/>
            <sz val="10"/>
            <color rgb="FF000000"/>
            <rFont val="Tahoma"/>
            <family val="2"/>
          </rPr>
          <t>Need to adjust race # for each new race.</t>
        </r>
        <r>
          <rPr>
            <sz val="10"/>
            <color rgb="FF000000"/>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3" authorId="0" shapeId="0" xr:uid="{17329CAA-B08B-2943-AB94-AD4D9F4376B3}">
      <text>
        <r>
          <rPr>
            <b/>
            <sz val="10"/>
            <color rgb="FF000000"/>
            <rFont val="Tahoma"/>
            <family val="2"/>
          </rPr>
          <t>For Western longitudes, need to apply a negative sign to the longitude before converting to UTM</t>
        </r>
        <r>
          <rPr>
            <sz val="10"/>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tc={F09B3286-ACD0-BB43-8B8C-9AC7D5107824}</author>
    <author>tc={175CEA0E-EFB3-BB4D-A36F-A6DB022CAB66}</author>
    <author>tc={712A115B-121B-9F47-B3F0-97E4DAB58677}</author>
  </authors>
  <commentList>
    <comment ref="O3" authorId="0" shapeId="0" xr:uid="{F09B3286-ACD0-BB43-8B8C-9AC7D5107824}">
      <text>
        <t>[Threaded comment]
Your version of Excel allows you to read this threaded comment; however, any edits to it will get removed if the file is opened in a newer version of Excel. Learn more: https://go.microsoft.com/fwlink/?linkid=870924
Comment:
    This counts the number of boats who have a finish time</t>
      </text>
    </comment>
    <comment ref="Y3" authorId="1" shapeId="0" xr:uid="{175CEA0E-EFB3-BB4D-A36F-A6DB022CAB66}">
      <text>
        <t>[Threaded comment]
Your version of Excel allows you to read this threaded comment; however, any edits to it will get removed if the file is opened in a newer version of Excel. Learn more: https://go.microsoft.com/fwlink/?linkid=870924
Comment:
    Uses actual elapsed time, multiplied by the appropriate time correction factor (Spin vs. No Spin)</t>
      </text>
    </comment>
    <comment ref="AD3" authorId="2" shapeId="0" xr:uid="{712A115B-121B-9F47-B3F0-97E4DAB58677}">
      <text>
        <t>[Threaded comment]
Your version of Excel allows you to read this threaded comment; however, any edits to it will get removed if the file is opened in a newer version of Excel. Learn more: https://go.microsoft.com/fwlink/?linkid=870924
Comment:
    Based upon corrected time based upon time on time scoring.</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tc={3E260D07-8AB8-E043-AFE5-64990A9D53B9}</author>
    <author>Glenn VanOtteren</author>
    <author>tc={F2C698E6-3D9F-B84D-942D-8051CF1BD164}</author>
    <author>tc={761A51C3-223E-024A-A1A8-100001FE03A4}</author>
  </authors>
  <commentList>
    <comment ref="O3" authorId="0" shapeId="0" xr:uid="{3E260D07-8AB8-E043-AFE5-64990A9D53B9}">
      <text>
        <t>[Threaded comment]
Your version of Excel allows you to read this threaded comment; however, any edits to it will get removed if the file is opened in a newer version of Excel. Learn more: https://go.microsoft.com/fwlink/?linkid=870924
Comment:
    This counts the number of boats who have a finish time</t>
      </text>
    </comment>
    <comment ref="V3" authorId="1" shapeId="0" xr:uid="{234C2DAF-1A39-6444-B0AE-B3773CC05E72}">
      <text>
        <r>
          <rPr>
            <b/>
            <sz val="10"/>
            <color rgb="FF000000"/>
            <rFont val="Tahoma"/>
            <family val="2"/>
          </rPr>
          <t xml:space="preserve">For Time on Distance correction in Pursuit 
</t>
        </r>
        <r>
          <rPr>
            <b/>
            <sz val="10"/>
            <color rgb="FF000000"/>
            <rFont val="Tahoma"/>
            <family val="2"/>
          </rPr>
          <t xml:space="preserve">Races
</t>
        </r>
      </text>
    </comment>
    <comment ref="Y3" authorId="2" shapeId="0" xr:uid="{F2C698E6-3D9F-B84D-942D-8051CF1BD164}">
      <text>
        <t>[Threaded comment]
Your version of Excel allows you to read this threaded comment; however, any edits to it will get removed if the file is opened in a newer version of Excel. Learn more: https://go.microsoft.com/fwlink/?linkid=870924
Comment:
    Uses actual elapsed time, multiplied by the appropriate time correction factor (Spin vs. No Spin)</t>
      </text>
    </comment>
    <comment ref="AD3" authorId="3" shapeId="0" xr:uid="{761A51C3-223E-024A-A1A8-100001FE03A4}">
      <text>
        <t>[Threaded comment]
Your version of Excel allows you to read this threaded comment; however, any edits to it will get removed if the file is opened in a newer version of Excel. Learn more: https://go.microsoft.com/fwlink/?linkid=870924
Comment:
    Based upon corrected time based upon time on time scoring.</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tc={893FBF5F-A98C-9E4B-A64B-FED2F857ABDD}</author>
    <author>tc={38B399E8-7D49-D443-8293-C5D6590FBAA0}</author>
    <author>tc={6EB2A91D-C78C-1F4F-90E9-9B43E88C1661}</author>
  </authors>
  <commentList>
    <comment ref="I3" authorId="0" shapeId="0" xr:uid="{B8C06A78-B815-7B41-9AB0-38CD144CDB32}">
      <text>
        <r>
          <rPr>
            <b/>
            <sz val="10"/>
            <color rgb="FF000000"/>
            <rFont val="Tahoma"/>
            <family val="2"/>
          </rPr>
          <t>Column is pulling from Race #1 rather than Race #2, as Race #2 was cancelled.</t>
        </r>
        <r>
          <rPr>
            <sz val="10"/>
            <color rgb="FF000000"/>
            <rFont val="Tahoma"/>
            <family val="2"/>
          </rPr>
          <t xml:space="preserve">
</t>
        </r>
      </text>
    </comment>
    <comment ref="O3" authorId="1" shapeId="0" xr:uid="{893FBF5F-A98C-9E4B-A64B-FED2F857ABDD}">
      <text>
        <t>[Threaded comment]
Your version of Excel allows you to read this threaded comment; however, any edits to it will get removed if the file is opened in a newer version of Excel. Learn more: https://go.microsoft.com/fwlink/?linkid=870924
Comment:
    This counts the number of boats who have a finish time</t>
      </text>
    </comment>
    <comment ref="Y3" authorId="2" shapeId="0" xr:uid="{38B399E8-7D49-D443-8293-C5D6590FBAA0}">
      <text>
        <t>[Threaded comment]
Your version of Excel allows you to read this threaded comment; however, any edits to it will get removed if the file is opened in a newer version of Excel. Learn more: https://go.microsoft.com/fwlink/?linkid=870924
Comment:
    Uses actual elapsed time, multiplied by the appropriate time correction factor (Spin vs. No Spin)</t>
      </text>
    </comment>
    <comment ref="AD3" authorId="3" shapeId="0" xr:uid="{6EB2A91D-C78C-1F4F-90E9-9B43E88C1661}">
      <text>
        <t>[Threaded comment]
Your version of Excel allows you to read this threaded comment; however, any edits to it will get removed if the file is opened in a newer version of Excel. Learn more: https://go.microsoft.com/fwlink/?linkid=870924
Comment:
    Based upon corrected time based upon time on time scoring.</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tc={5762C41C-C89B-A944-871E-770FA5010E28}</author>
    <author>tc={FA6D60C6-6547-7F47-857F-C847EBB4D91D}</author>
    <author>tc={B448A7E7-491E-634D-BE71-9533003B5A75}</author>
    <author>Glenn VanOtteren</author>
  </authors>
  <commentList>
    <comment ref="O3" authorId="0" shapeId="0" xr:uid="{5762C41C-C89B-A944-871E-770FA5010E28}">
      <text>
        <t>[Threaded comment]
Your version of Excel allows you to read this threaded comment; however, any edits to it will get removed if the file is opened in a newer version of Excel. Learn more: https://go.microsoft.com/fwlink/?linkid=870924
Comment:
    This counts the number of boats who have a finish time</t>
      </text>
    </comment>
    <comment ref="Y3" authorId="1" shapeId="0" xr:uid="{FA6D60C6-6547-7F47-857F-C847EBB4D91D}">
      <text>
        <t>[Threaded comment]
Your version of Excel allows you to read this threaded comment; however, any edits to it will get removed if the file is opened in a newer version of Excel. Learn more: https://go.microsoft.com/fwlink/?linkid=870924
Comment:
    Uses actual elapsed time, multiplied by the appropriate time correction factor (Spin vs. No Spin)</t>
      </text>
    </comment>
    <comment ref="AD3" authorId="2" shapeId="0" xr:uid="{B448A7E7-491E-634D-BE71-9533003B5A75}">
      <text>
        <t>[Threaded comment]
Your version of Excel allows you to read this threaded comment; however, any edits to it will get removed if the file is opened in a newer version of Excel. Learn more: https://go.microsoft.com/fwlink/?linkid=870924
Comment:
    Based upon corrected time based upon time on time scoring.</t>
      </text>
    </comment>
    <comment ref="L12" authorId="3" shapeId="0" xr:uid="{AF6C7A77-3D37-354A-8D8B-521FE06109FD}">
      <text>
        <r>
          <rPr>
            <b/>
            <sz val="10"/>
            <color rgb="FF000000"/>
            <rFont val="Tahoma"/>
            <family val="2"/>
          </rPr>
          <t xml:space="preserve">DNF
</t>
        </r>
        <r>
          <rPr>
            <sz val="10"/>
            <color rgb="FF000000"/>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tc={BD50151A-2892-ED42-BCAF-0D1DB3A3148D}</author>
    <author>tc={AAD699B5-F56B-5E40-88BB-811787D8D220}</author>
    <author>tc={2EDBF92A-38CF-E844-B381-B316530AC68C}</author>
  </authors>
  <commentList>
    <comment ref="O3" authorId="0" shapeId="0" xr:uid="{BD50151A-2892-ED42-BCAF-0D1DB3A3148D}">
      <text>
        <t>[Threaded comment]
Your version of Excel allows you to read this threaded comment; however, any edits to it will get removed if the file is opened in a newer version of Excel. Learn more: https://go.microsoft.com/fwlink/?linkid=870924
Comment:
    This counts the number of boats who have a finish time</t>
      </text>
    </comment>
    <comment ref="Y3" authorId="1" shapeId="0" xr:uid="{AAD699B5-F56B-5E40-88BB-811787D8D220}">
      <text>
        <t>[Threaded comment]
Your version of Excel allows you to read this threaded comment; however, any edits to it will get removed if the file is opened in a newer version of Excel. Learn more: https://go.microsoft.com/fwlink/?linkid=870924
Comment:
    Uses actual elapsed time, multiplied by the appropriate time correction factor (Spin vs. No Spin)</t>
      </text>
    </comment>
    <comment ref="AD3" authorId="2" shapeId="0" xr:uid="{2EDBF92A-38CF-E844-B381-B316530AC68C}">
      <text>
        <t>[Threaded comment]
Your version of Excel allows you to read this threaded comment; however, any edits to it will get removed if the file is opened in a newer version of Excel. Learn more: https://go.microsoft.com/fwlink/?linkid=870924
Comment:
    Based upon corrected time based upon time on time scoring.</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tc={7F1A8DF7-4723-5849-A021-2BD19B9D6BEA}</author>
    <author>tc={E368BD48-FAA4-A649-A451-57DA41C367CF}</author>
    <author>tc={D0C1AEF8-5CF9-2044-BBAE-3358279E6B0E}</author>
  </authors>
  <commentList>
    <comment ref="O3" authorId="0" shapeId="0" xr:uid="{7F1A8DF7-4723-5849-A021-2BD19B9D6BEA}">
      <text>
        <t>[Threaded comment]
Your version of Excel allows you to read this threaded comment; however, any edits to it will get removed if the file is opened in a newer version of Excel. Learn more: https://go.microsoft.com/fwlink/?linkid=870924
Comment:
    This counts the number of boats who have a finish time</t>
      </text>
    </comment>
    <comment ref="Y3" authorId="1" shapeId="0" xr:uid="{E368BD48-FAA4-A649-A451-57DA41C367CF}">
      <text>
        <t>[Threaded comment]
Your version of Excel allows you to read this threaded comment; however, any edits to it will get removed if the file is opened in a newer version of Excel. Learn more: https://go.microsoft.com/fwlink/?linkid=870924
Comment:
    Uses actual elapsed time, multiplied by the appropriate time correction factor (Spin vs. No Spin)</t>
      </text>
    </comment>
    <comment ref="AD3" authorId="2" shapeId="0" xr:uid="{D0C1AEF8-5CF9-2044-BBAE-3358279E6B0E}">
      <text>
        <t>[Threaded comment]
Your version of Excel allows you to read this threaded comment; however, any edits to it will get removed if the file is opened in a newer version of Excel. Learn more: https://go.microsoft.com/fwlink/?linkid=870924
Comment:
    Based upon corrected time based upon time on time scoring.</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tc={FC09185B-C8F6-A241-B513-90B4D0B8A769}</author>
    <author>tc={3CD5D9AF-48C3-AF4E-9667-0BF5193980B3}</author>
    <author>tc={7A349025-A46F-2F46-92E5-30E182780F98}</author>
  </authors>
  <commentList>
    <comment ref="O3" authorId="0" shapeId="0" xr:uid="{FC09185B-C8F6-A241-B513-90B4D0B8A769}">
      <text>
        <t>[Threaded comment]
Your version of Excel allows you to read this threaded comment; however, any edits to it will get removed if the file is opened in a newer version of Excel. Learn more: https://go.microsoft.com/fwlink/?linkid=870924
Comment:
    This counts the number of boats who have a finish time</t>
      </text>
    </comment>
    <comment ref="Y3" authorId="1" shapeId="0" xr:uid="{3CD5D9AF-48C3-AF4E-9667-0BF5193980B3}">
      <text>
        <t>[Threaded comment]
Your version of Excel allows you to read this threaded comment; however, any edits to it will get removed if the file is opened in a newer version of Excel. Learn more: https://go.microsoft.com/fwlink/?linkid=870924
Comment:
    Uses actual elapsed time, multiplied by the appropriate time correction factor (Spin vs. No Spin)</t>
      </text>
    </comment>
    <comment ref="AD3" authorId="2" shapeId="0" xr:uid="{7A349025-A46F-2F46-92E5-30E182780F98}">
      <text>
        <t>[Threaded comment]
Your version of Excel allows you to read this threaded comment; however, any edits to it will get removed if the file is opened in a newer version of Excel. Learn more: https://go.microsoft.com/fwlink/?linkid=870924
Comment:
    Based upon corrected time based upon time on time scoring.</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tc={34F32D4F-1810-9C4F-8278-AE52BD327EB5}</author>
    <author>tc={D51A8E90-2DB3-D247-8FE0-D58BBAAFD348}</author>
    <author>tc={23818F28-53BA-C34A-9A7D-D9E696C9F55B}</author>
  </authors>
  <commentList>
    <comment ref="O3" authorId="0" shapeId="0" xr:uid="{34F32D4F-1810-9C4F-8278-AE52BD327EB5}">
      <text>
        <t>[Threaded comment]
Your version of Excel allows you to read this threaded comment; however, any edits to it will get removed if the file is opened in a newer version of Excel. Learn more: https://go.microsoft.com/fwlink/?linkid=870924
Comment:
    This counts the number of boats who have a finish time</t>
      </text>
    </comment>
    <comment ref="Y3" authorId="1" shapeId="0" xr:uid="{D51A8E90-2DB3-D247-8FE0-D58BBAAFD348}">
      <text>
        <t>[Threaded comment]
Your version of Excel allows you to read this threaded comment; however, any edits to it will get removed if the file is opened in a newer version of Excel. Learn more: https://go.microsoft.com/fwlink/?linkid=870924
Comment:
    Uses actual elapsed time, multiplied by the appropriate time correction factor (Spin vs. No Spin)</t>
      </text>
    </comment>
    <comment ref="AD3" authorId="2" shapeId="0" xr:uid="{23818F28-53BA-C34A-9A7D-D9E696C9F55B}">
      <text>
        <t>[Threaded comment]
Your version of Excel allows you to read this threaded comment; however, any edits to it will get removed if the file is opened in a newer version of Excel. Learn more: https://go.microsoft.com/fwlink/?linkid=870924
Comment:
    Based upon corrected time based upon time on time scoring.</t>
      </text>
    </comment>
  </commentList>
</comments>
</file>

<file path=xl/sharedStrings.xml><?xml version="1.0" encoding="utf-8"?>
<sst xmlns="http://schemas.openxmlformats.org/spreadsheetml/2006/main" count="1721" uniqueCount="397">
  <si>
    <t>Applebee Series</t>
  </si>
  <si>
    <t>Collins Series</t>
  </si>
  <si>
    <t>1st</t>
  </si>
  <si>
    <t xml:space="preserve">2nd </t>
  </si>
  <si>
    <t>3rd</t>
  </si>
  <si>
    <t>Line Honors</t>
  </si>
  <si>
    <t># Race Starts</t>
  </si>
  <si>
    <t># Race Finishes</t>
  </si>
  <si>
    <t>Phone</t>
  </si>
  <si>
    <t>Yacht Name</t>
  </si>
  <si>
    <t>Boat Type</t>
  </si>
  <si>
    <t>Owner</t>
  </si>
  <si>
    <t>Season Starting BHCP</t>
  </si>
  <si>
    <t>Season Starting NSHCP</t>
  </si>
  <si>
    <t>Race #1 Actual Finish</t>
  </si>
  <si>
    <t>Race #1 Corrected Finish</t>
  </si>
  <si>
    <t>Race #1 Applebee Points</t>
  </si>
  <si>
    <t>Race #1 Collins Points</t>
  </si>
  <si>
    <t>Race #2 Actual Finish</t>
  </si>
  <si>
    <t>Race #2 Corrected Finish</t>
  </si>
  <si>
    <t>Race #2 Applebee Points</t>
  </si>
  <si>
    <t>Race #2 Collins Points</t>
  </si>
  <si>
    <t>Race #3 Actual Finish</t>
  </si>
  <si>
    <t>Race #3 Corrected Finish</t>
  </si>
  <si>
    <t>Race #3 Applebee Points</t>
  </si>
  <si>
    <t>Race #23 Collins Points</t>
  </si>
  <si>
    <t>Race #4 Actual Finish</t>
  </si>
  <si>
    <t>Race #4 Corrected Finish</t>
  </si>
  <si>
    <t>Race #4 Applebee Points</t>
  </si>
  <si>
    <t>Race #4 Collins Points</t>
  </si>
  <si>
    <t>Race #5 Actual Finish</t>
  </si>
  <si>
    <t>Race #5 Corrected Finish</t>
  </si>
  <si>
    <t>Race #5 Applebee Points</t>
  </si>
  <si>
    <t>Race #5 Collins Points</t>
  </si>
  <si>
    <t>Race #6 Actual Finish</t>
  </si>
  <si>
    <t>Race #6 Corrected Finish</t>
  </si>
  <si>
    <t>Race #6 Applebee Points</t>
  </si>
  <si>
    <t>Race #6 Collins Points</t>
  </si>
  <si>
    <t>Race #7 Actual Finish</t>
  </si>
  <si>
    <t>Race #7 Corrected Finish</t>
  </si>
  <si>
    <t>Race #7 Applebee Points</t>
  </si>
  <si>
    <t>Race #7 Collins Points</t>
  </si>
  <si>
    <t>Race #8 Actual Finish</t>
  </si>
  <si>
    <t>Race #8 Corrected Finish</t>
  </si>
  <si>
    <t>Race #8 Applebee Points</t>
  </si>
  <si>
    <t>Race #8 Collins Points</t>
  </si>
  <si>
    <t>Pursuit Finish (Time on Dist)</t>
  </si>
  <si>
    <t>Time on Time Corrected Finish</t>
  </si>
  <si>
    <t>Race #9 Applebee Points</t>
  </si>
  <si>
    <t>Race #9 Collins Points</t>
  </si>
  <si>
    <t>Race #10 Applebee Points</t>
  </si>
  <si>
    <t>Race #10 Collins Points</t>
  </si>
  <si>
    <t>Race #11 Applebee Points</t>
  </si>
  <si>
    <t>Race #11 Collins Points</t>
  </si>
  <si>
    <t>Season Sub-Total Points</t>
  </si>
  <si>
    <t>Final Season Total Points</t>
  </si>
  <si>
    <t>Season Finish Position</t>
  </si>
  <si>
    <t>231-432-0192</t>
  </si>
  <si>
    <t>Doug Kilgren</t>
  </si>
  <si>
    <t>847-736-5924</t>
  </si>
  <si>
    <t>Steve Luebkeman</t>
  </si>
  <si>
    <t>269-207-1953</t>
  </si>
  <si>
    <t>Feng Shui</t>
  </si>
  <si>
    <t>C&amp;C 34</t>
  </si>
  <si>
    <t>Mike Finazzo</t>
  </si>
  <si>
    <t>619-292-9113</t>
  </si>
  <si>
    <t>Grin</t>
  </si>
  <si>
    <t>Ericson 32-200</t>
  </si>
  <si>
    <t>John Woomer</t>
  </si>
  <si>
    <t>415-308-3418</t>
  </si>
  <si>
    <t>Catalina 36 TM</t>
  </si>
  <si>
    <t>Mike Cann</t>
  </si>
  <si>
    <t>916-799-3351</t>
  </si>
  <si>
    <t>Mirabelle</t>
  </si>
  <si>
    <t>Cape Dory 32</t>
  </si>
  <si>
    <t>Campbell McLeod</t>
  </si>
  <si>
    <t>231-944-9065</t>
  </si>
  <si>
    <t>Outrageous</t>
  </si>
  <si>
    <t>Tanzer 22</t>
  </si>
  <si>
    <t>Don Webb</t>
  </si>
  <si>
    <t>616-450-3674</t>
  </si>
  <si>
    <t>Paradox</t>
  </si>
  <si>
    <t>J 92</t>
  </si>
  <si>
    <t>Glenn VanOtteren/Ted Standiford</t>
  </si>
  <si>
    <t>616-881-6414</t>
  </si>
  <si>
    <t>Pegasus</t>
  </si>
  <si>
    <t>Catalina 320</t>
  </si>
  <si>
    <t>Bill Allen</t>
  </si>
  <si>
    <t>Superfly</t>
  </si>
  <si>
    <t>734-777-5016</t>
  </si>
  <si>
    <t>Triton</t>
  </si>
  <si>
    <t>Hans Christian 43</t>
  </si>
  <si>
    <t>Alex Parks</t>
  </si>
  <si>
    <t># Boats</t>
  </si>
  <si>
    <t>Distance</t>
  </si>
  <si>
    <t>Pursuit Style? (Y/N)</t>
  </si>
  <si>
    <t xml:space="preserve">  </t>
  </si>
  <si>
    <t>Handicap Ratings (by Race Series)</t>
  </si>
  <si>
    <t>* MW PHRF</t>
  </si>
  <si>
    <t>Maximum Adjustments Allowed</t>
  </si>
  <si>
    <t>Base Handicap (Spinnaker)</t>
  </si>
  <si>
    <t>Non-Spin Handicap (NSHCP)</t>
  </si>
  <si>
    <t>Boat Name</t>
  </si>
  <si>
    <t>* Requires MW PHRF Certification (or comparable)</t>
  </si>
  <si>
    <t>Boat Owner</t>
  </si>
  <si>
    <t>MW PHRF Handicap (DHCP)</t>
  </si>
  <si>
    <t>MW PHRF Non-Spin Handicap (NSHCP)</t>
  </si>
  <si>
    <t>NBYC Beginning Handicap (Base)</t>
  </si>
  <si>
    <t>Time Correction Factor (Base)</t>
  </si>
  <si>
    <t>NBYC Beginning Non-Spin Handicap (NSHCP)</t>
  </si>
  <si>
    <t>Time Correction Factor (NSHCP)</t>
  </si>
  <si>
    <t>Boat Start (Yes/No)</t>
  </si>
  <si>
    <t>Account 1 point for Starting Boats</t>
  </si>
  <si>
    <t>Start Time (xx:xx:xx)</t>
  </si>
  <si>
    <t>Finish Time (xx:xx:xx)</t>
  </si>
  <si>
    <t>Count if Finished</t>
  </si>
  <si>
    <t>Actual Order of Finish ("Line Honors")</t>
  </si>
  <si>
    <t>Absolute Elapsed Time (hh:mm:ss)</t>
  </si>
  <si>
    <t>Absolute Elapsed Time  (sec, actual)</t>
  </si>
  <si>
    <t>Time On Distance Correction Variance</t>
  </si>
  <si>
    <t>Spinnaker (Yes/No)</t>
  </si>
  <si>
    <t>Spinnaker Correction/Penalty (TOD)</t>
  </si>
  <si>
    <t>Spinnaker Correction/Penalty  (TOT)</t>
  </si>
  <si>
    <t>Total Corrected Finish Time (TOD)</t>
  </si>
  <si>
    <t>Corrected Finish Time (sec) (TOT)</t>
  </si>
  <si>
    <t>Order of Finish - Pursuit (TOD)</t>
  </si>
  <si>
    <t>Order of Finish (TOT)</t>
  </si>
  <si>
    <t>Order of Finish (Applebee)</t>
  </si>
  <si>
    <t>Applebee Points Earned</t>
  </si>
  <si>
    <t>Seconds per mile (TOT)</t>
  </si>
  <si>
    <t>Difference from Reference boat (sec per mile)</t>
  </si>
  <si>
    <t>Differential per mile (Max 30 secs per mile)</t>
  </si>
  <si>
    <t>Golf Handicap; 10% of Differential (secs)</t>
  </si>
  <si>
    <t>Adjusted Base Handicap</t>
  </si>
  <si>
    <t>Adjusted Non-Spin Handicap</t>
  </si>
  <si>
    <t>Season Total Points To Date (Applebee)</t>
  </si>
  <si>
    <t>Collins Points Earned</t>
  </si>
  <si>
    <t>Season Total Points To Date (Collins)</t>
  </si>
  <si>
    <t>Notes</t>
  </si>
  <si>
    <t>Yes</t>
  </si>
  <si>
    <t>No</t>
  </si>
  <si>
    <t>Distance (nm)</t>
  </si>
  <si>
    <t>Race Results</t>
  </si>
  <si>
    <t>Time Diff. (sec) TOT</t>
  </si>
  <si>
    <t>Time Diff. (sec) TOD</t>
  </si>
  <si>
    <t>Reference Boat</t>
  </si>
  <si>
    <t>Course:</t>
  </si>
  <si>
    <t>From</t>
  </si>
  <si>
    <t>To:</t>
  </si>
  <si>
    <t>Leg Distance (nm):</t>
  </si>
  <si>
    <t>Collins Series Parameters</t>
  </si>
  <si>
    <t>Pursuit Style Race? (Yes/No)</t>
  </si>
  <si>
    <t>Ref Finish</t>
  </si>
  <si>
    <t>Average PHRF of all Finishers</t>
  </si>
  <si>
    <t>% HDCP Adj</t>
  </si>
  <si>
    <t>Numerator (A Factor)</t>
  </si>
  <si>
    <t>Ave. Wind Speed (Qualitative)</t>
  </si>
  <si>
    <t>Average</t>
  </si>
  <si>
    <t>Time Corr. Factor (TCF) of Fleet</t>
  </si>
  <si>
    <t>Wind (B Factor)</t>
  </si>
  <si>
    <t># Boats Starting</t>
  </si>
  <si>
    <t># Boats Finishing</t>
  </si>
  <si>
    <t>Reference Boat Finish Position</t>
  </si>
  <si>
    <t>Reference Boat (Sec/Mile)</t>
  </si>
  <si>
    <t>Total Distance (nm):</t>
  </si>
  <si>
    <t>Wind Speed Corrections</t>
  </si>
  <si>
    <t>Wind</t>
  </si>
  <si>
    <t>Speed (kts)</t>
  </si>
  <si>
    <t>B Factor</t>
  </si>
  <si>
    <t xml:space="preserve">Scoring Method: Time On </t>
  </si>
  <si>
    <t>Light Air</t>
  </si>
  <si>
    <t>&lt;= 6</t>
  </si>
  <si>
    <t>For Time On Time Scoring, the TCF = A / (B + PHRF  fleet ave.)</t>
  </si>
  <si>
    <t>7-12</t>
  </si>
  <si>
    <t>Heavy Air</t>
  </si>
  <si>
    <t>&gt;=13</t>
  </si>
  <si>
    <t>Race #</t>
  </si>
  <si>
    <t>Date:</t>
  </si>
  <si>
    <t xml:space="preserve"> </t>
  </si>
  <si>
    <t>Differential Time (based upon distance, nm)</t>
  </si>
  <si>
    <t>Start Time (based upon distance, nm)</t>
  </si>
  <si>
    <t>Boat</t>
  </si>
  <si>
    <t>PHRF</t>
  </si>
  <si>
    <t>Start Time</t>
  </si>
  <si>
    <t>Scratch boat start time:</t>
  </si>
  <si>
    <t>Race #2 - Applebee and Collins Series</t>
  </si>
  <si>
    <r>
      <t>Weather</t>
    </r>
    <r>
      <rPr>
        <b/>
        <sz val="11"/>
        <color theme="1"/>
        <rFont val="Calibri"/>
        <family val="2"/>
        <scheme val="minor"/>
      </rPr>
      <t xml:space="preserve">: </t>
    </r>
  </si>
  <si>
    <t>Race #3 - Applebee and Collins Series</t>
  </si>
  <si>
    <t>Race #5 - Applebee and Collins Series</t>
  </si>
  <si>
    <t>Race #16- Applebee and Collins Series</t>
  </si>
  <si>
    <t>Race #7 - Applebee and Collins Series</t>
  </si>
  <si>
    <t>Race #8 - Applebee and Collins Series</t>
  </si>
  <si>
    <t>Race #9 - Applebee and Collins Series</t>
  </si>
  <si>
    <t>Start/Finish</t>
  </si>
  <si>
    <t>Timber Shores</t>
  </si>
  <si>
    <t>Nun #6</t>
  </si>
  <si>
    <t>Midway Mark</t>
  </si>
  <si>
    <t>Nun #4</t>
  </si>
  <si>
    <t>Race #10 - Applebee and Collins Series</t>
  </si>
  <si>
    <t>Bell Buoy #2</t>
  </si>
  <si>
    <t>Race #11 - Applebee and Collins Series</t>
  </si>
  <si>
    <t>Start Time Adjustments (based upon anticipated duration of the race/min)</t>
  </si>
  <si>
    <t>Raw Start Time</t>
  </si>
  <si>
    <t>Non-Spin PHRF</t>
  </si>
  <si>
    <t>(60 min race)</t>
  </si>
  <si>
    <t>(100 min race)</t>
  </si>
  <si>
    <t>Scratch Boat Start Time</t>
  </si>
  <si>
    <t>Time (mm:ss) to Give/(Receive) to Competitor's Boat for Given Race Duration</t>
  </si>
  <si>
    <t>Boat Selected for Comparison</t>
  </si>
  <si>
    <t>WITHOUT Spinnaker</t>
  </si>
  <si>
    <t xml:space="preserve">PHRF </t>
  </si>
  <si>
    <t>Elapsed Time (minutes)</t>
  </si>
  <si>
    <t>PHRF (Non Spin)</t>
  </si>
  <si>
    <t>Saturday/Applebee Series</t>
  </si>
  <si>
    <t>Course</t>
  </si>
  <si>
    <t>Direction</t>
  </si>
  <si>
    <t>Course roundings</t>
  </si>
  <si>
    <t>First leg</t>
  </si>
  <si>
    <t>Second leg</t>
  </si>
  <si>
    <t>Third leg</t>
  </si>
  <si>
    <t>Fourth leg</t>
  </si>
  <si>
    <t>Long</t>
  </si>
  <si>
    <t>CCW</t>
  </si>
  <si>
    <t>S/F to Gull Island to GI offset to #2 to S/F</t>
  </si>
  <si>
    <t>147° for 2.8 nm</t>
  </si>
  <si>
    <t>037° for 0.5 nm</t>
  </si>
  <si>
    <t>018° for 1.9 nm</t>
  </si>
  <si>
    <t>273° for 2.4 nm</t>
  </si>
  <si>
    <t>CW</t>
  </si>
  <si>
    <t>S/F to #2 to GI offset to Gull Island to S/F</t>
  </si>
  <si>
    <t>096° for 2.4 nm</t>
  </si>
  <si>
    <t>198° for 1.9 nm</t>
  </si>
  <si>
    <t>217° for 0.5 nm</t>
  </si>
  <si>
    <t>327° for 2.8 nm</t>
  </si>
  <si>
    <t>Medium</t>
  </si>
  <si>
    <t>S/F to Gull Island to GI offset to #4 to S/F</t>
  </si>
  <si>
    <t>037° for 0.4 nm</t>
  </si>
  <si>
    <t>000° for 1.9 nm</t>
  </si>
  <si>
    <t>274° for 1.8 nm</t>
  </si>
  <si>
    <t>S/F to #4 to GI offset to Gull Island to S/F</t>
  </si>
  <si>
    <t>094° for 1.8 nm</t>
  </si>
  <si>
    <t>180° for 1.9 nm</t>
  </si>
  <si>
    <t>217° for 0.4 nm</t>
  </si>
  <si>
    <t>Short</t>
  </si>
  <si>
    <t>S/F to Timber Shores to #2 to S/F</t>
  </si>
  <si>
    <t>154° for 1.6 nm</t>
  </si>
  <si>
    <t>058° for 2.1 nm</t>
  </si>
  <si>
    <t>276° for 2.4 nm</t>
  </si>
  <si>
    <t>S/F to #2 to Timber Shores to S/F</t>
  </si>
  <si>
    <t>238° for 2.1 nm</t>
  </si>
  <si>
    <t>336° for 1.6 nm</t>
  </si>
  <si>
    <t>Tuesday/Sutton Series</t>
  </si>
  <si>
    <t>S/F to Timber Shores to #4 to S/F</t>
  </si>
  <si>
    <t>154° for 1.5 nm</t>
  </si>
  <si>
    <t>045° for 1.7 nm</t>
  </si>
  <si>
    <t>277° for 1.8 nm</t>
  </si>
  <si>
    <t>097° for 1.8 nm</t>
  </si>
  <si>
    <t>225° for 1.7 nm</t>
  </si>
  <si>
    <t>334° for 1.5 nm</t>
  </si>
  <si>
    <t>S/F to Timber Shores to #6 to S/F</t>
  </si>
  <si>
    <t>016° for 1.3 nm</t>
  </si>
  <si>
    <t>279° for 1.0 nm</t>
  </si>
  <si>
    <t>099° for 1.0 nm</t>
  </si>
  <si>
    <t>196° for 1.3 nm</t>
  </si>
  <si>
    <t>Other</t>
  </si>
  <si>
    <t>Course Distance Calculations by Leg</t>
  </si>
  <si>
    <t>(UTM)</t>
  </si>
  <si>
    <t>Mark</t>
  </si>
  <si>
    <t>Zone</t>
  </si>
  <si>
    <t>Nun #2 (Bell Buoy)</t>
  </si>
  <si>
    <t>Gull Island Offset Mark</t>
  </si>
  <si>
    <t>Gull Island South Mark</t>
  </si>
  <si>
    <t>Eastport Can #3</t>
  </si>
  <si>
    <t>S/F</t>
  </si>
  <si>
    <t>Minus adjustment (Min)</t>
  </si>
  <si>
    <t>Plus adjustment (Max)</t>
  </si>
  <si>
    <t>NSHCP</t>
  </si>
  <si>
    <t>PHRF Handicap</t>
  </si>
  <si>
    <t>PHRF Non-Spin Handicap</t>
  </si>
  <si>
    <t>PHRF used for this Race</t>
  </si>
  <si>
    <t>HCP</t>
  </si>
  <si>
    <t>Upper Limit of PHRF ratings (Max from Standard)</t>
  </si>
  <si>
    <t>Lower Limit of PHRF ratings (Min from Standard)</t>
  </si>
  <si>
    <t>Distance (nm):</t>
  </si>
  <si>
    <t>Phone Number (text)</t>
  </si>
  <si>
    <t>Leg Distance (nm)</t>
  </si>
  <si>
    <t>Totals</t>
  </si>
  <si>
    <t>MW PHRF Handicap (HCP)</t>
  </si>
  <si>
    <t>Catalina 28 MK II</t>
  </si>
  <si>
    <t>Osprey</t>
  </si>
  <si>
    <t>Official certification complete:  Those handicaps highlighted in green represent the PHRF ratings assigned to the boat, as certified by the Midwest PHRF handicapping organization.</t>
  </si>
  <si>
    <t>Like boat certification complete:  Those handicaps highlighted in blue represent the PHRF ratings for an identical boat to the club boat which has been certififed by Midwest PHRF, with minor adjustements unique to the yacht.</t>
  </si>
  <si>
    <t>DNS</t>
  </si>
  <si>
    <t>Gull Island Offset</t>
  </si>
  <si>
    <t>Cheerio</t>
  </si>
  <si>
    <t>Gull Island South Buoy</t>
  </si>
  <si>
    <t>Start time</t>
  </si>
  <si>
    <t>Sum of Throw Outs (2 races)</t>
  </si>
  <si>
    <t>Season Total Points To Date (Collins), B4 throw outs</t>
  </si>
  <si>
    <t>Season Total Points To Date (Applebee), B4 throw outs</t>
  </si>
  <si>
    <t>Kristin B II</t>
  </si>
  <si>
    <t>Bell Buoy #6</t>
  </si>
  <si>
    <t>Exit Strategy</t>
  </si>
  <si>
    <t>Darryl Rosenbaum</t>
  </si>
  <si>
    <t>MacGuffin</t>
  </si>
  <si>
    <t>Shock Harbor 25</t>
  </si>
  <si>
    <t>J Boats J-105</t>
  </si>
  <si>
    <t>336-480-6122</t>
  </si>
  <si>
    <t>703-789-3547</t>
  </si>
  <si>
    <t>Note:  PHRF ratings were changed for Cheerio and Superfly as of Race #8</t>
  </si>
  <si>
    <t>Gull Island South</t>
  </si>
  <si>
    <t>X-easting</t>
  </si>
  <si>
    <t>Y-northerly</t>
  </si>
  <si>
    <t>Clockwise</t>
  </si>
  <si>
    <t>Counter-Clockwise</t>
  </si>
  <si>
    <t>MM 1</t>
  </si>
  <si>
    <t>MM 2</t>
  </si>
  <si>
    <t>MM 3</t>
  </si>
  <si>
    <t>MM 4</t>
  </si>
  <si>
    <t>MM 5</t>
  </si>
  <si>
    <t>MM 6</t>
  </si>
  <si>
    <t>TS 1</t>
  </si>
  <si>
    <t>TS 2</t>
  </si>
  <si>
    <t>TS 3</t>
  </si>
  <si>
    <t>TS 4</t>
  </si>
  <si>
    <t>TS 5</t>
  </si>
  <si>
    <t>N6 1</t>
  </si>
  <si>
    <t>GI 1</t>
  </si>
  <si>
    <t>Latitude (N)</t>
  </si>
  <si>
    <t>Longitude (W)</t>
  </si>
  <si>
    <t>Paradox WITH Spinnaker</t>
  </si>
  <si>
    <t>***</t>
  </si>
  <si>
    <t>(*** Assumes all other boats without spinnaker)</t>
  </si>
  <si>
    <t>Start</t>
  </si>
  <si>
    <t>DNF</t>
  </si>
  <si>
    <t>Threatening thunderstorm at finish</t>
  </si>
  <si>
    <t>Awaiting certification (Ineligible for Collins Series): Those handicaps highlighted in yellow represent best estimates of a standardized PHRF based from ratings on similar boats, and are tentative pending submission of formal Midwest PHRF ratings.</t>
  </si>
  <si>
    <t>John Stamos/John Woods</t>
  </si>
  <si>
    <t>C</t>
  </si>
  <si>
    <t>TS 6</t>
  </si>
  <si>
    <t>NBYC (2025 End of Season) (Start of 2026)</t>
  </si>
  <si>
    <t xml:space="preserve"> 2026 Saturday Standings (Applebee &amp; Collins Series)</t>
  </si>
  <si>
    <t>Timber Shores Mark</t>
  </si>
  <si>
    <t>Gull Island North Mark</t>
  </si>
  <si>
    <t>Mission Point Light</t>
  </si>
  <si>
    <t>Shallows Midway Mark</t>
  </si>
  <si>
    <t>Decimal Degrees</t>
  </si>
  <si>
    <t>(Hddd.mm.mmm), e.g. 45 7.722'</t>
  </si>
  <si>
    <t>16T</t>
  </si>
  <si>
    <t>Waypoint Conversion Website: https://www.geoplaner.com</t>
  </si>
  <si>
    <t>Longitude</t>
  </si>
  <si>
    <t>Latitude</t>
  </si>
  <si>
    <t>Race Duration (Scratch Boat)(sec)</t>
  </si>
  <si>
    <t>Shallows Midway</t>
  </si>
  <si>
    <t>Gull Island North</t>
  </si>
  <si>
    <t>Magoo</t>
  </si>
  <si>
    <t>Lone Gull</t>
  </si>
  <si>
    <t>Cal 20</t>
  </si>
  <si>
    <t>Kevin Savage</t>
  </si>
  <si>
    <t>231-386-2290</t>
  </si>
  <si>
    <t>#6</t>
  </si>
  <si>
    <t>Finish</t>
  </si>
  <si>
    <t>Race #1 - June 27</t>
  </si>
  <si>
    <t>Race #2 - July 4</t>
  </si>
  <si>
    <t>Race #3 - July 11</t>
  </si>
  <si>
    <t>Race #4 - July 18</t>
  </si>
  <si>
    <t>Race #5 - July 25</t>
  </si>
  <si>
    <t>Race #6 - August 1</t>
  </si>
  <si>
    <t>Race #7 - August 8</t>
  </si>
  <si>
    <t>Race #8 - August 15</t>
  </si>
  <si>
    <t>Race #9 - August 22</t>
  </si>
  <si>
    <t>Race #10 - August 29</t>
  </si>
  <si>
    <t>Race #11 - September 5</t>
  </si>
  <si>
    <t>Race #1 - Applebee and Collins Series; June 27</t>
  </si>
  <si>
    <t>Mostly Sunny, 72 degrees</t>
  </si>
  <si>
    <t>Wind:  North at 6-10 kts</t>
  </si>
  <si>
    <t>Race Cancelled due to minimal wind at start time.</t>
  </si>
  <si>
    <t>Need to adjust formulas in column I for 2027 spreadsheet, as Race #2 was cancelled due to no wind.</t>
  </si>
  <si>
    <t>Sunday, July 12</t>
  </si>
  <si>
    <t>Option</t>
  </si>
  <si>
    <t>Option #</t>
  </si>
  <si>
    <t>TS2</t>
  </si>
  <si>
    <t>TS3</t>
  </si>
  <si>
    <t>N4-2</t>
  </si>
  <si>
    <t>N6</t>
  </si>
  <si>
    <t>Shallows</t>
  </si>
  <si>
    <t>Need to correct Column AN later, to result in zero if no race.</t>
  </si>
  <si>
    <t>Multihull Boats</t>
  </si>
  <si>
    <t>Name</t>
  </si>
  <si>
    <t>Finish Time</t>
  </si>
  <si>
    <t>Gull Island Nortrh</t>
  </si>
  <si>
    <t>Saffier 33</t>
  </si>
  <si>
    <t>Winds NW 17-22 knots, Temperature 68 degrees F.</t>
  </si>
  <si>
    <t>Started, but DNF</t>
  </si>
  <si>
    <t>Estella</t>
  </si>
  <si>
    <t>Sunny, Hot.  Winds 2-8 knots.</t>
  </si>
  <si>
    <t>Race #4 - Applebee and Collins Series; July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</si>
</sst>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quot;$&quot;#,##0.00_);[Red]\(&quot;$&quot;#,##0.00\)"/>
    <numFmt numFmtId="41" formatCode="_(* #,##0_);_(* \(#,##0\);_(* &quot;-&quot;_);_(@_)"/>
    <numFmt numFmtId="43" formatCode="_(* #,##0.00_);_(* \(#,##0.00\);_(* &quot;-&quot;??_);_(@_)"/>
    <numFmt numFmtId="164" formatCode="m/d/yy;@"/>
    <numFmt numFmtId="165" formatCode="_(* #,##0_);_(* \(#,##0\);_(* &quot;-&quot;??_);_(@_)"/>
    <numFmt numFmtId="166" formatCode="_(* #,##0.000_);_(* \(#,##0.000\);_(* &quot;-&quot;??_);_(@_)"/>
    <numFmt numFmtId="167" formatCode="_(* #,##0.0_);_(* \(#,##0.0\);_(* &quot;-&quot;??_);_(@_)"/>
    <numFmt numFmtId="168" formatCode="0.0"/>
    <numFmt numFmtId="169" formatCode="#,##0.0"/>
    <numFmt numFmtId="170" formatCode="h:mm:ss;@"/>
    <numFmt numFmtId="171" formatCode="[h]:mm:ss;@"/>
    <numFmt numFmtId="172" formatCode="[$-409]h:mm:ss\ AM/PM;@"/>
    <numFmt numFmtId="173" formatCode="[$-F800]dddd\,\ mmmm\ dd\,\ yyyy"/>
    <numFmt numFmtId="174" formatCode="0.000"/>
    <numFmt numFmtId="175" formatCode="[$-409]d\-mmm;@"/>
    <numFmt numFmtId="176" formatCode="0.000000"/>
    <numFmt numFmtId="177" formatCode="#,##0.000"/>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1"/>
      <color rgb="FFFF0000"/>
      <name val="Calibri"/>
      <family val="2"/>
      <scheme val="minor"/>
    </font>
    <font>
      <b/>
      <sz val="11"/>
      <color indexed="8"/>
      <name val="Calibri"/>
      <family val="2"/>
      <scheme val="minor"/>
    </font>
    <font>
      <sz val="8"/>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
      <u/>
      <sz val="11"/>
      <color theme="1"/>
      <name val="Calibri"/>
      <family val="2"/>
      <scheme val="minor"/>
    </font>
    <font>
      <sz val="9"/>
      <color theme="1"/>
      <name val="Calibri"/>
      <family val="2"/>
      <scheme val="minor"/>
    </font>
    <font>
      <sz val="11"/>
      <color rgb="FF000000"/>
      <name val="Calibri"/>
      <family val="2"/>
      <scheme val="minor"/>
    </font>
    <font>
      <b/>
      <sz val="10"/>
      <color rgb="FF000000"/>
      <name val="Tahoma"/>
      <family val="2"/>
    </font>
    <font>
      <b/>
      <u val="singleAccounting"/>
      <sz val="11"/>
      <color theme="1"/>
      <name val="Calibri"/>
      <family val="2"/>
      <scheme val="minor"/>
    </font>
    <font>
      <b/>
      <u val="singleAccounting"/>
      <sz val="11"/>
      <color indexed="8"/>
      <name val="Calibri"/>
      <family val="2"/>
      <scheme val="minor"/>
    </font>
    <font>
      <sz val="11"/>
      <color indexed="8"/>
      <name val="Calibri"/>
      <family val="2"/>
      <scheme val="minor"/>
    </font>
    <font>
      <sz val="10"/>
      <color rgb="FF000000"/>
      <name val="Tahoma"/>
      <family val="2"/>
    </font>
  </fonts>
  <fills count="13">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rgb="FF00B050"/>
        <bgColor indexed="64"/>
      </patternFill>
    </fill>
    <fill>
      <patternFill patternType="solid">
        <fgColor theme="8" tint="0.39997558519241921"/>
        <bgColor indexed="64"/>
      </patternFill>
    </fill>
    <fill>
      <patternFill patternType="lightUp">
        <bgColor theme="5"/>
      </patternFill>
    </fill>
  </fills>
  <borders count="80">
    <border>
      <left/>
      <right/>
      <top/>
      <bottom/>
      <diagonal/>
    </border>
    <border>
      <left/>
      <right/>
      <top style="thin">
        <color theme="0" tint="-0.499984740745262"/>
      </top>
      <bottom style="thin">
        <color theme="0" tint="-0.499984740745262"/>
      </bottom>
      <diagonal/>
    </border>
    <border>
      <left/>
      <right/>
      <top style="thin">
        <color theme="0" tint="-0.499984740745262"/>
      </top>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theme="0" tint="-0.499984740745262"/>
      </top>
      <bottom/>
      <diagonal/>
    </border>
    <border>
      <left/>
      <right style="medium">
        <color auto="1"/>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theme="0" tint="-0.499984740745262"/>
      </bottom>
      <diagonal/>
    </border>
    <border>
      <left/>
      <right/>
      <top/>
      <bottom style="thin">
        <color auto="1"/>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rgb="FF000000"/>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n">
        <color auto="1"/>
      </left>
      <right style="thin">
        <color auto="1"/>
      </right>
      <top style="thick">
        <color auto="1"/>
      </top>
      <bottom style="thin">
        <color auto="1"/>
      </bottom>
      <diagonal/>
    </border>
    <border>
      <left style="medium">
        <color auto="1"/>
      </left>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thin">
        <color auto="1"/>
      </top>
      <bottom/>
      <diagonal/>
    </border>
    <border>
      <left/>
      <right/>
      <top style="thin">
        <color auto="1"/>
      </top>
      <bottom/>
      <diagonal/>
    </border>
    <border>
      <left style="thin">
        <color auto="1"/>
      </left>
      <right style="medium">
        <color indexed="64"/>
      </right>
      <top style="thin">
        <color auto="1"/>
      </top>
      <bottom/>
      <diagonal/>
    </border>
    <border>
      <left/>
      <right/>
      <top style="medium">
        <color indexed="64"/>
      </top>
      <bottom style="thin">
        <color theme="0" tint="-0.499984740745262"/>
      </bottom>
      <diagonal/>
    </border>
    <border>
      <left style="thin">
        <color indexed="64"/>
      </left>
      <right style="thin">
        <color indexed="64"/>
      </right>
      <top/>
      <bottom/>
      <diagonal/>
    </border>
    <border>
      <left style="medium">
        <color auto="1"/>
      </left>
      <right style="thin">
        <color auto="1"/>
      </right>
      <top style="medium">
        <color auto="1"/>
      </top>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thin">
        <color theme="0" tint="-0.499984740745262"/>
      </left>
      <right/>
      <top style="medium">
        <color indexed="64"/>
      </top>
      <bottom/>
      <diagonal/>
    </border>
    <border>
      <left style="thin">
        <color theme="0" tint="-0.499984740745262"/>
      </left>
      <right style="medium">
        <color indexed="64"/>
      </right>
      <top style="medium">
        <color indexed="64"/>
      </top>
      <bottom/>
      <diagonal/>
    </border>
    <border>
      <left style="thin">
        <color theme="0" tint="-0.499984740745262"/>
      </left>
      <right style="thin">
        <color theme="0" tint="-0.499984740745262"/>
      </right>
      <top style="medium">
        <color indexed="64"/>
      </top>
      <bottom/>
      <diagonal/>
    </border>
    <border>
      <left style="medium">
        <color auto="1"/>
      </left>
      <right style="medium">
        <color auto="1"/>
      </right>
      <top style="medium">
        <color auto="1"/>
      </top>
      <bottom/>
      <diagonal/>
    </border>
    <border>
      <left style="thin">
        <color auto="1"/>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auto="1"/>
      </left>
      <right style="medium">
        <color indexed="64"/>
      </right>
      <top/>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indexed="64"/>
      </left>
      <right style="thin">
        <color theme="0" tint="-0.499984740745262"/>
      </right>
      <top style="medium">
        <color indexed="64"/>
      </top>
      <bottom style="thick">
        <color indexed="64"/>
      </bottom>
      <diagonal/>
    </border>
    <border>
      <left style="medium">
        <color auto="1"/>
      </left>
      <right style="thin">
        <color auto="1"/>
      </right>
      <top/>
      <bottom style="medium">
        <color auto="1"/>
      </bottom>
      <diagonal/>
    </border>
    <border>
      <left style="thin">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40">
    <xf numFmtId="0" fontId="0" fillId="0" borderId="0" xfId="0"/>
    <xf numFmtId="0" fontId="0" fillId="0" borderId="0" xfId="0" applyAlignment="1">
      <alignment horizontal="center"/>
    </xf>
    <xf numFmtId="0" fontId="3" fillId="0" borderId="0" xfId="0" applyFont="1" applyAlignment="1">
      <alignment horizontal="left" vertical="center" indent="5"/>
    </xf>
    <xf numFmtId="0" fontId="2" fillId="0" borderId="0" xfId="0" applyFont="1"/>
    <xf numFmtId="168" fontId="0" fillId="0" borderId="0" xfId="0" applyNumberFormat="1"/>
    <xf numFmtId="168" fontId="0" fillId="0" borderId="0" xfId="0" applyNumberFormat="1" applyAlignment="1">
      <alignment horizontal="center"/>
    </xf>
    <xf numFmtId="49" fontId="0" fillId="0" borderId="0" xfId="0" applyNumberFormat="1" applyAlignment="1">
      <alignment horizontal="left"/>
    </xf>
    <xf numFmtId="1" fontId="0" fillId="0" borderId="0" xfId="0" applyNumberFormat="1" applyAlignment="1">
      <alignment horizontal="center"/>
    </xf>
    <xf numFmtId="49" fontId="0" fillId="0" borderId="0" xfId="0" applyNumberFormat="1" applyAlignment="1">
      <alignment horizontal="center"/>
    </xf>
    <xf numFmtId="0" fontId="0" fillId="0" borderId="7" xfId="0" applyBorder="1"/>
    <xf numFmtId="0" fontId="0" fillId="0" borderId="7" xfId="0" applyBorder="1" applyAlignment="1">
      <alignment horizontal="center"/>
    </xf>
    <xf numFmtId="166" fontId="0" fillId="0" borderId="0" xfId="1" applyNumberFormat="1" applyFont="1" applyFill="1" applyBorder="1" applyAlignment="1">
      <alignment horizontal="center"/>
    </xf>
    <xf numFmtId="37" fontId="0" fillId="0" borderId="0" xfId="1" applyNumberFormat="1" applyFont="1" applyFill="1" applyBorder="1" applyAlignment="1">
      <alignment horizontal="center"/>
    </xf>
    <xf numFmtId="165" fontId="0" fillId="0" borderId="0" xfId="1" applyNumberFormat="1" applyFont="1" applyFill="1" applyBorder="1" applyAlignment="1">
      <alignment horizontal="center"/>
    </xf>
    <xf numFmtId="1" fontId="0" fillId="0" borderId="0" xfId="1" applyNumberFormat="1" applyFont="1" applyFill="1" applyBorder="1" applyAlignment="1">
      <alignment horizontal="center"/>
    </xf>
    <xf numFmtId="167" fontId="0" fillId="0" borderId="0" xfId="1" applyNumberFormat="1" applyFont="1" applyFill="1" applyBorder="1" applyAlignment="1">
      <alignment horizontal="center"/>
    </xf>
    <xf numFmtId="168" fontId="0" fillId="0" borderId="0" xfId="1" applyNumberFormat="1" applyFont="1" applyFill="1" applyBorder="1" applyAlignment="1">
      <alignment horizontal="center"/>
    </xf>
    <xf numFmtId="0" fontId="0" fillId="0" borderId="6" xfId="0" applyBorder="1"/>
    <xf numFmtId="165" fontId="2" fillId="0" borderId="0" xfId="1" applyNumberFormat="1" applyFont="1" applyFill="1" applyBorder="1" applyAlignment="1">
      <alignment horizontal="center"/>
    </xf>
    <xf numFmtId="41" fontId="0" fillId="0" borderId="0" xfId="1" applyNumberFormat="1" applyFont="1" applyFill="1" applyBorder="1" applyAlignment="1">
      <alignment horizontal="center"/>
    </xf>
    <xf numFmtId="43" fontId="0" fillId="0" borderId="0" xfId="1" applyFont="1" applyFill="1" applyBorder="1" applyAlignment="1">
      <alignment horizontal="center"/>
    </xf>
    <xf numFmtId="165" fontId="0" fillId="0" borderId="0" xfId="1" applyNumberFormat="1" applyFont="1" applyFill="1" applyBorder="1" applyAlignment="1"/>
    <xf numFmtId="0" fontId="2" fillId="0" borderId="0" xfId="0" applyFont="1" applyAlignment="1">
      <alignment vertical="center"/>
    </xf>
    <xf numFmtId="165" fontId="5" fillId="0" borderId="7" xfId="0" applyNumberFormat="1" applyFont="1" applyBorder="1" applyAlignment="1">
      <alignment horizontal="right"/>
    </xf>
    <xf numFmtId="0" fontId="2" fillId="2" borderId="7" xfId="0" applyFont="1" applyFill="1" applyBorder="1" applyAlignment="1">
      <alignment horizontal="right"/>
    </xf>
    <xf numFmtId="0" fontId="2" fillId="0" borderId="7" xfId="0" applyFont="1" applyBorder="1" applyAlignment="1">
      <alignment horizontal="right"/>
    </xf>
    <xf numFmtId="169" fontId="2" fillId="0" borderId="7" xfId="0" applyNumberFormat="1" applyFont="1" applyBorder="1" applyAlignment="1">
      <alignment horizontal="right"/>
    </xf>
    <xf numFmtId="0" fontId="2" fillId="0" borderId="6" xfId="0" applyFont="1" applyBorder="1" applyAlignment="1">
      <alignment horizontal="center" wrapText="1"/>
    </xf>
    <xf numFmtId="0" fontId="2" fillId="0" borderId="6" xfId="0" applyFont="1" applyBorder="1"/>
    <xf numFmtId="0" fontId="0" fillId="0" borderId="6" xfId="0" applyBorder="1" applyAlignment="1">
      <alignment horizontal="center"/>
    </xf>
    <xf numFmtId="0" fontId="0" fillId="0" borderId="0" xfId="0" applyAlignment="1">
      <alignment horizontal="left"/>
    </xf>
    <xf numFmtId="0" fontId="7" fillId="0" borderId="0" xfId="0" applyFont="1" applyAlignment="1">
      <alignment horizontal="left"/>
    </xf>
    <xf numFmtId="0" fontId="8" fillId="0" borderId="0" xfId="0" applyFont="1" applyAlignment="1">
      <alignment horizontal="left"/>
    </xf>
    <xf numFmtId="0" fontId="2" fillId="0" borderId="0" xfId="0" applyFont="1" applyAlignment="1">
      <alignment horizontal="right"/>
    </xf>
    <xf numFmtId="165" fontId="0" fillId="0" borderId="7" xfId="1" applyNumberFormat="1" applyFont="1" applyFill="1" applyBorder="1" applyAlignment="1">
      <alignment horizontal="center"/>
    </xf>
    <xf numFmtId="0" fontId="0" fillId="0" borderId="0" xfId="0" applyAlignment="1">
      <alignment wrapText="1"/>
    </xf>
    <xf numFmtId="45" fontId="0" fillId="0" borderId="0" xfId="0" applyNumberFormat="1" applyAlignment="1">
      <alignment horizontal="center"/>
    </xf>
    <xf numFmtId="0" fontId="2" fillId="0" borderId="21" xfId="0" applyFont="1" applyBorder="1" applyAlignment="1">
      <alignment horizontal="center" wrapText="1"/>
    </xf>
    <xf numFmtId="0" fontId="2" fillId="0" borderId="22" xfId="0" applyFont="1" applyBorder="1" applyAlignment="1">
      <alignment horizontal="center" wrapText="1"/>
    </xf>
    <xf numFmtId="0" fontId="9" fillId="0" borderId="0" xfId="0" applyFont="1" applyAlignment="1">
      <alignment wrapText="1"/>
    </xf>
    <xf numFmtId="2" fontId="0" fillId="0" borderId="0" xfId="0" applyNumberFormat="1"/>
    <xf numFmtId="171" fontId="0" fillId="0" borderId="0" xfId="0" applyNumberFormat="1"/>
    <xf numFmtId="170" fontId="0" fillId="0" borderId="0" xfId="0" applyNumberFormat="1"/>
    <xf numFmtId="171" fontId="0" fillId="0" borderId="0" xfId="0" applyNumberFormat="1" applyAlignment="1">
      <alignment horizontal="center"/>
    </xf>
    <xf numFmtId="172" fontId="0" fillId="0" borderId="0" xfId="0" applyNumberFormat="1"/>
    <xf numFmtId="170" fontId="2" fillId="0" borderId="0" xfId="0" applyNumberFormat="1" applyFont="1"/>
    <xf numFmtId="168" fontId="0" fillId="0" borderId="7" xfId="0" applyNumberFormat="1" applyBorder="1" applyAlignment="1">
      <alignment horizontal="center"/>
    </xf>
    <xf numFmtId="0" fontId="9" fillId="0" borderId="0" xfId="0" applyFont="1"/>
    <xf numFmtId="0" fontId="10" fillId="0" borderId="0" xfId="0" applyFont="1"/>
    <xf numFmtId="0" fontId="0" fillId="0" borderId="0" xfId="0" applyAlignment="1">
      <alignment horizontal="center" wrapText="1"/>
    </xf>
    <xf numFmtId="1" fontId="2" fillId="0" borderId="0" xfId="0" applyNumberFormat="1" applyFont="1" applyAlignment="1">
      <alignment horizontal="center"/>
    </xf>
    <xf numFmtId="0" fontId="0" fillId="0" borderId="25" xfId="0" applyBorder="1" applyAlignment="1">
      <alignment horizontal="center"/>
    </xf>
    <xf numFmtId="0" fontId="2" fillId="0" borderId="25" xfId="0" applyFont="1" applyBorder="1" applyAlignment="1">
      <alignment horizontal="left"/>
    </xf>
    <xf numFmtId="0" fontId="2" fillId="0" borderId="0" xfId="0" applyFont="1" applyAlignment="1">
      <alignment horizontal="center"/>
    </xf>
    <xf numFmtId="0" fontId="2" fillId="0" borderId="27" xfId="0" applyFont="1" applyBorder="1" applyAlignment="1">
      <alignment horizontal="center"/>
    </xf>
    <xf numFmtId="168" fontId="2" fillId="0" borderId="0" xfId="0" applyNumberFormat="1" applyFont="1" applyAlignment="1">
      <alignment horizontal="center"/>
    </xf>
    <xf numFmtId="49" fontId="0" fillId="0" borderId="6" xfId="0" applyNumberFormat="1" applyBorder="1"/>
    <xf numFmtId="170" fontId="0" fillId="0" borderId="0" xfId="0" applyNumberFormat="1" applyAlignment="1">
      <alignment horizontal="right"/>
    </xf>
    <xf numFmtId="166" fontId="0" fillId="0" borderId="7" xfId="1" applyNumberFormat="1" applyFont="1" applyFill="1" applyBorder="1" applyAlignment="1">
      <alignment horizontal="center"/>
    </xf>
    <xf numFmtId="165" fontId="0" fillId="3" borderId="7" xfId="1" applyNumberFormat="1" applyFont="1" applyFill="1" applyBorder="1" applyAlignment="1">
      <alignment horizontal="center"/>
    </xf>
    <xf numFmtId="167" fontId="0" fillId="3" borderId="7" xfId="1" applyNumberFormat="1" applyFont="1" applyFill="1" applyBorder="1" applyAlignment="1">
      <alignment horizontal="center"/>
    </xf>
    <xf numFmtId="166" fontId="0" fillId="3" borderId="7" xfId="1" applyNumberFormat="1" applyFont="1" applyFill="1" applyBorder="1" applyAlignment="1">
      <alignment horizontal="center"/>
    </xf>
    <xf numFmtId="165" fontId="2" fillId="0" borderId="7" xfId="1" applyNumberFormat="1" applyFont="1" applyFill="1" applyBorder="1" applyAlignment="1">
      <alignment horizontal="center"/>
    </xf>
    <xf numFmtId="170" fontId="2" fillId="0" borderId="0" xfId="0" applyNumberFormat="1" applyFont="1" applyAlignment="1">
      <alignment horizontal="right"/>
    </xf>
    <xf numFmtId="0" fontId="2" fillId="0" borderId="32" xfId="0" applyFont="1" applyBorder="1"/>
    <xf numFmtId="0" fontId="2" fillId="0" borderId="31" xfId="0" applyFont="1" applyBorder="1"/>
    <xf numFmtId="0" fontId="2" fillId="0" borderId="43" xfId="0" applyFont="1" applyBorder="1" applyAlignment="1">
      <alignment horizontal="center"/>
    </xf>
    <xf numFmtId="0" fontId="2" fillId="0" borderId="8" xfId="0" applyFont="1" applyBorder="1" applyAlignment="1">
      <alignment horizontal="center"/>
    </xf>
    <xf numFmtId="170" fontId="2" fillId="2" borderId="0" xfId="0" applyNumberFormat="1" applyFont="1" applyFill="1"/>
    <xf numFmtId="0" fontId="2" fillId="0" borderId="0" xfId="0" applyFont="1" applyAlignment="1">
      <alignment horizontal="left"/>
    </xf>
    <xf numFmtId="173" fontId="2" fillId="0" borderId="0" xfId="0" applyNumberFormat="1" applyFont="1" applyAlignment="1">
      <alignment horizontal="left"/>
    </xf>
    <xf numFmtId="0" fontId="10" fillId="0" borderId="0" xfId="0" applyFont="1" applyAlignment="1">
      <alignment horizontal="center"/>
    </xf>
    <xf numFmtId="0" fontId="12" fillId="0" borderId="0" xfId="0" applyFont="1"/>
    <xf numFmtId="168" fontId="0" fillId="0" borderId="0" xfId="0" applyNumberFormat="1" applyAlignment="1">
      <alignment horizontal="left"/>
    </xf>
    <xf numFmtId="170" fontId="2" fillId="0" borderId="34" xfId="0" applyNumberFormat="1" applyFont="1" applyBorder="1" applyAlignment="1">
      <alignment horizontal="center"/>
    </xf>
    <xf numFmtId="170" fontId="2" fillId="0" borderId="35" xfId="0" applyNumberFormat="1" applyFont="1" applyBorder="1" applyAlignment="1">
      <alignment horizontal="center"/>
    </xf>
    <xf numFmtId="0" fontId="0" fillId="3" borderId="7" xfId="0" applyFill="1" applyBorder="1"/>
    <xf numFmtId="165" fontId="2" fillId="3" borderId="7" xfId="1" applyNumberFormat="1" applyFont="1" applyFill="1" applyBorder="1" applyAlignment="1">
      <alignment horizontal="center"/>
    </xf>
    <xf numFmtId="167" fontId="0" fillId="0" borderId="7" xfId="1" applyNumberFormat="1" applyFont="1" applyFill="1" applyBorder="1" applyAlignment="1">
      <alignment horizontal="center"/>
    </xf>
    <xf numFmtId="0" fontId="2" fillId="0" borderId="0" xfId="0" applyFont="1" applyAlignment="1">
      <alignment horizontal="center" vertical="center"/>
    </xf>
    <xf numFmtId="168" fontId="2" fillId="0" borderId="0" xfId="0" applyNumberFormat="1" applyFont="1" applyAlignment="1">
      <alignment horizontal="left"/>
    </xf>
    <xf numFmtId="168" fontId="5" fillId="0" borderId="0" xfId="0" applyNumberFormat="1" applyFont="1" applyAlignment="1">
      <alignment horizontal="left"/>
    </xf>
    <xf numFmtId="0" fontId="0" fillId="0" borderId="0" xfId="0" applyAlignment="1">
      <alignment horizontal="right"/>
    </xf>
    <xf numFmtId="37" fontId="0" fillId="0" borderId="0" xfId="1" applyNumberFormat="1" applyFont="1" applyFill="1" applyBorder="1" applyAlignment="1">
      <alignment horizontal="right"/>
    </xf>
    <xf numFmtId="37" fontId="2" fillId="0" borderId="0" xfId="0" applyNumberFormat="1" applyFont="1" applyAlignment="1">
      <alignment horizontal="right"/>
    </xf>
    <xf numFmtId="168" fontId="2" fillId="0" borderId="0" xfId="0" applyNumberFormat="1" applyFont="1" applyAlignment="1">
      <alignment horizontal="right"/>
    </xf>
    <xf numFmtId="174" fontId="5" fillId="2" borderId="7" xfId="0" applyNumberFormat="1" applyFont="1" applyFill="1" applyBorder="1" applyAlignment="1">
      <alignment horizontal="right"/>
    </xf>
    <xf numFmtId="0" fontId="2" fillId="0" borderId="7" xfId="0" applyFont="1" applyBorder="1"/>
    <xf numFmtId="0" fontId="5" fillId="0" borderId="0" xfId="0" applyFont="1" applyAlignment="1">
      <alignment horizontal="right"/>
    </xf>
    <xf numFmtId="0" fontId="9" fillId="0" borderId="0" xfId="0" applyFont="1" applyAlignment="1">
      <alignment vertical="center"/>
    </xf>
    <xf numFmtId="174" fontId="0" fillId="0" borderId="0" xfId="0" applyNumberFormat="1"/>
    <xf numFmtId="174" fontId="0" fillId="8" borderId="0" xfId="0" applyNumberFormat="1" applyFill="1"/>
    <xf numFmtId="174" fontId="0" fillId="0" borderId="0" xfId="0" applyNumberFormat="1" applyAlignment="1">
      <alignment horizontal="left"/>
    </xf>
    <xf numFmtId="0" fontId="9" fillId="0" borderId="0" xfId="0" applyFont="1" applyAlignment="1">
      <alignment horizontal="center"/>
    </xf>
    <xf numFmtId="9" fontId="5" fillId="2" borderId="7" xfId="0" applyNumberFormat="1" applyFont="1" applyFill="1" applyBorder="1" applyAlignment="1">
      <alignment horizontal="right"/>
    </xf>
    <xf numFmtId="0" fontId="2" fillId="0" borderId="30" xfId="0" applyFont="1" applyBorder="1"/>
    <xf numFmtId="9" fontId="5" fillId="0" borderId="30" xfId="0" applyNumberFormat="1" applyFont="1" applyBorder="1" applyAlignment="1">
      <alignment horizontal="right"/>
    </xf>
    <xf numFmtId="0" fontId="9" fillId="0" borderId="39" xfId="0" applyFont="1" applyBorder="1" applyAlignment="1">
      <alignment horizontal="center"/>
    </xf>
    <xf numFmtId="0" fontId="9" fillId="0" borderId="40" xfId="0" applyFont="1"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center"/>
    </xf>
    <xf numFmtId="0" fontId="2" fillId="0" borderId="39" xfId="0" applyFont="1" applyBorder="1"/>
    <xf numFmtId="0" fontId="2" fillId="0" borderId="40" xfId="0" applyFont="1" applyBorder="1" applyAlignment="1">
      <alignment horizontal="center"/>
    </xf>
    <xf numFmtId="0" fontId="2" fillId="0" borderId="41" xfId="0" applyFont="1" applyBorder="1"/>
    <xf numFmtId="0" fontId="2" fillId="0" borderId="25" xfId="0" applyFont="1" applyBorder="1" applyAlignment="1">
      <alignment horizontal="center"/>
    </xf>
    <xf numFmtId="0" fontId="2" fillId="0" borderId="42" xfId="0" applyFont="1" applyBorder="1" applyAlignment="1">
      <alignment horizontal="center"/>
    </xf>
    <xf numFmtId="0" fontId="5" fillId="0" borderId="39" xfId="0" applyFont="1" applyBorder="1"/>
    <xf numFmtId="0" fontId="5" fillId="0" borderId="0" xfId="0" applyFont="1" applyAlignment="1">
      <alignment horizontal="center"/>
    </xf>
    <xf numFmtId="0" fontId="5" fillId="0" borderId="40" xfId="0" applyFont="1" applyBorder="1" applyAlignment="1">
      <alignment horizontal="center"/>
    </xf>
    <xf numFmtId="0" fontId="5" fillId="0" borderId="41" xfId="0" applyFont="1" applyBorder="1"/>
    <xf numFmtId="0" fontId="5" fillId="0" borderId="25" xfId="0" applyFont="1" applyBorder="1" applyAlignment="1">
      <alignment horizontal="center"/>
    </xf>
    <xf numFmtId="0" fontId="5" fillId="0" borderId="42" xfId="0" applyFont="1" applyBorder="1" applyAlignment="1">
      <alignment horizontal="center"/>
    </xf>
    <xf numFmtId="0" fontId="2" fillId="0" borderId="7" xfId="0" applyFont="1" applyBorder="1" applyAlignment="1">
      <alignment horizontal="center"/>
    </xf>
    <xf numFmtId="0" fontId="2" fillId="0" borderId="39" xfId="0" applyFont="1" applyBorder="1" applyAlignment="1">
      <alignment horizontal="center"/>
    </xf>
    <xf numFmtId="0" fontId="2" fillId="0" borderId="41" xfId="0" applyFont="1" applyBorder="1" applyAlignment="1">
      <alignment horizontal="center"/>
    </xf>
    <xf numFmtId="0" fontId="5" fillId="0" borderId="7" xfId="0" applyFont="1" applyBorder="1" applyAlignment="1">
      <alignment horizontal="center"/>
    </xf>
    <xf numFmtId="0" fontId="5" fillId="0" borderId="37" xfId="0" applyFont="1" applyBorder="1" applyAlignment="1">
      <alignment horizontal="center"/>
    </xf>
    <xf numFmtId="0" fontId="5" fillId="0" borderId="38" xfId="0" applyFont="1" applyBorder="1" applyAlignment="1">
      <alignment horizontal="center"/>
    </xf>
    <xf numFmtId="0" fontId="5" fillId="0" borderId="39" xfId="0" applyFont="1" applyBorder="1" applyAlignment="1">
      <alignment horizontal="center"/>
    </xf>
    <xf numFmtId="0" fontId="5" fillId="0" borderId="41" xfId="0" applyFont="1" applyBorder="1" applyAlignment="1">
      <alignment horizontal="center"/>
    </xf>
    <xf numFmtId="168" fontId="5" fillId="0" borderId="35" xfId="0" applyNumberFormat="1" applyFont="1" applyBorder="1" applyAlignment="1">
      <alignment horizontal="left"/>
    </xf>
    <xf numFmtId="168" fontId="2" fillId="0" borderId="35" xfId="0" applyNumberFormat="1" applyFont="1" applyBorder="1" applyAlignment="1">
      <alignment horizontal="left"/>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5" fillId="0" borderId="6" xfId="0" applyFont="1" applyBorder="1" applyAlignment="1">
      <alignment horizontal="center" wrapText="1"/>
    </xf>
    <xf numFmtId="49" fontId="2" fillId="0" borderId="0" xfId="0" applyNumberFormat="1" applyFont="1" applyAlignment="1">
      <alignment horizontal="center"/>
    </xf>
    <xf numFmtId="49" fontId="5" fillId="0" borderId="0" xfId="0" applyNumberFormat="1" applyFont="1" applyAlignment="1">
      <alignment horizontal="center"/>
    </xf>
    <xf numFmtId="0" fontId="2" fillId="0" borderId="11" xfId="0" applyFont="1" applyBorder="1" applyAlignment="1">
      <alignment horizontal="center" vertical="center"/>
    </xf>
    <xf numFmtId="0" fontId="2" fillId="3" borderId="24" xfId="0" applyFont="1" applyFill="1" applyBorder="1" applyAlignment="1">
      <alignment horizontal="left" vertical="center" indent="1"/>
    </xf>
    <xf numFmtId="0" fontId="0" fillId="3" borderId="54" xfId="0" applyFill="1" applyBorder="1" applyAlignment="1">
      <alignment horizontal="left" vertical="center" indent="1"/>
    </xf>
    <xf numFmtId="0" fontId="2" fillId="0" borderId="3" xfId="0" applyFont="1" applyBorder="1" applyAlignment="1">
      <alignment horizontal="left" vertical="center" indent="1"/>
    </xf>
    <xf numFmtId="0" fontId="0" fillId="0" borderId="1" xfId="0" applyBorder="1" applyAlignment="1">
      <alignment horizontal="left" vertical="center" indent="1"/>
    </xf>
    <xf numFmtId="0" fontId="2" fillId="3" borderId="3" xfId="0" applyFont="1" applyFill="1" applyBorder="1" applyAlignment="1">
      <alignment horizontal="left" vertical="center" indent="1"/>
    </xf>
    <xf numFmtId="0" fontId="0" fillId="3" borderId="1" xfId="0" applyFill="1" applyBorder="1" applyAlignment="1">
      <alignment horizontal="left" vertical="center" indent="1"/>
    </xf>
    <xf numFmtId="0" fontId="2" fillId="0" borderId="49" xfId="0" applyFont="1" applyBorder="1"/>
    <xf numFmtId="170" fontId="2" fillId="0" borderId="53" xfId="0" applyNumberFormat="1" applyFont="1" applyBorder="1" applyAlignment="1">
      <alignment horizontal="center"/>
    </xf>
    <xf numFmtId="168" fontId="0" fillId="3" borderId="16" xfId="0" applyNumberFormat="1" applyFill="1" applyBorder="1" applyAlignment="1">
      <alignment horizontal="center" vertical="center"/>
    </xf>
    <xf numFmtId="168" fontId="0" fillId="3" borderId="34" xfId="0" applyNumberFormat="1" applyFill="1" applyBorder="1" applyAlignment="1">
      <alignment horizontal="center" vertical="center"/>
    </xf>
    <xf numFmtId="168" fontId="0" fillId="0" borderId="7" xfId="0" applyNumberFormat="1" applyBorder="1" applyAlignment="1">
      <alignment horizontal="center" vertical="center"/>
    </xf>
    <xf numFmtId="168" fontId="0" fillId="0" borderId="35" xfId="0" applyNumberFormat="1" applyBorder="1" applyAlignment="1">
      <alignment horizontal="center" vertical="center"/>
    </xf>
    <xf numFmtId="168" fontId="0" fillId="3" borderId="7" xfId="0" applyNumberFormat="1" applyFill="1" applyBorder="1" applyAlignment="1">
      <alignment horizontal="center" vertical="center"/>
    </xf>
    <xf numFmtId="168" fontId="0" fillId="3" borderId="35" xfId="0" applyNumberFormat="1" applyFill="1" applyBorder="1" applyAlignment="1">
      <alignment horizontal="center" vertical="center"/>
    </xf>
    <xf numFmtId="168" fontId="0" fillId="3" borderId="32" xfId="0" applyNumberFormat="1" applyFill="1" applyBorder="1" applyAlignment="1">
      <alignment horizontal="center" vertical="center"/>
    </xf>
    <xf numFmtId="168" fontId="0" fillId="0" borderId="31" xfId="0" applyNumberFormat="1" applyBorder="1" applyAlignment="1">
      <alignment horizontal="center" vertical="center"/>
    </xf>
    <xf numFmtId="168" fontId="0" fillId="3" borderId="31" xfId="0" applyNumberFormat="1" applyFill="1" applyBorder="1" applyAlignment="1">
      <alignment horizontal="center" vertical="center"/>
    </xf>
    <xf numFmtId="0" fontId="2" fillId="0" borderId="48" xfId="0" applyFont="1" applyBorder="1"/>
    <xf numFmtId="0" fontId="2" fillId="0" borderId="21" xfId="0" applyFont="1" applyBorder="1"/>
    <xf numFmtId="0" fontId="5" fillId="0" borderId="48" xfId="0" applyFont="1" applyBorder="1"/>
    <xf numFmtId="0" fontId="5" fillId="0" borderId="0" xfId="0" applyFont="1"/>
    <xf numFmtId="0" fontId="5" fillId="0" borderId="21" xfId="0" applyFont="1" applyBorder="1"/>
    <xf numFmtId="0" fontId="5" fillId="0" borderId="6" xfId="0" applyFont="1" applyBorder="1"/>
    <xf numFmtId="168" fontId="2" fillId="0" borderId="22" xfId="0" applyNumberFormat="1" applyFont="1" applyBorder="1" applyAlignment="1">
      <alignment horizontal="center"/>
    </xf>
    <xf numFmtId="168" fontId="5" fillId="0" borderId="22" xfId="0" applyNumberFormat="1" applyFont="1" applyBorder="1" applyAlignment="1">
      <alignment horizontal="center"/>
    </xf>
    <xf numFmtId="168" fontId="2" fillId="0" borderId="5" xfId="0" applyNumberFormat="1" applyFont="1" applyBorder="1" applyAlignment="1">
      <alignment horizontal="center"/>
    </xf>
    <xf numFmtId="168" fontId="5" fillId="0" borderId="5" xfId="0" applyNumberFormat="1" applyFont="1" applyBorder="1" applyAlignment="1">
      <alignment horizontal="center"/>
    </xf>
    <xf numFmtId="3" fontId="16" fillId="0" borderId="7" xfId="0" applyNumberFormat="1" applyFont="1" applyBorder="1" applyAlignment="1">
      <alignment horizontal="center"/>
    </xf>
    <xf numFmtId="1" fontId="2" fillId="4" borderId="7" xfId="0" applyNumberFormat="1" applyFont="1" applyFill="1" applyBorder="1" applyAlignment="1">
      <alignment horizontal="center"/>
    </xf>
    <xf numFmtId="1" fontId="2" fillId="4" borderId="17" xfId="0" applyNumberFormat="1" applyFont="1" applyFill="1" applyBorder="1" applyAlignment="1">
      <alignment horizontal="center"/>
    </xf>
    <xf numFmtId="168" fontId="5" fillId="3" borderId="35" xfId="0" applyNumberFormat="1" applyFont="1" applyFill="1" applyBorder="1" applyAlignment="1">
      <alignment horizontal="left"/>
    </xf>
    <xf numFmtId="168" fontId="2" fillId="3" borderId="35" xfId="0" applyNumberFormat="1" applyFont="1" applyFill="1" applyBorder="1" applyAlignment="1">
      <alignment horizontal="left"/>
    </xf>
    <xf numFmtId="170" fontId="0" fillId="0" borderId="7" xfId="1" applyNumberFormat="1" applyFont="1" applyFill="1" applyBorder="1" applyAlignment="1">
      <alignment horizontal="center"/>
    </xf>
    <xf numFmtId="3" fontId="0" fillId="0" borderId="7" xfId="1" applyNumberFormat="1" applyFont="1" applyFill="1" applyBorder="1" applyAlignment="1">
      <alignment horizontal="center"/>
    </xf>
    <xf numFmtId="168" fontId="0" fillId="3" borderId="7" xfId="0" applyNumberFormat="1" applyFill="1" applyBorder="1" applyAlignment="1">
      <alignment horizontal="center"/>
    </xf>
    <xf numFmtId="170" fontId="0" fillId="3" borderId="7" xfId="1" applyNumberFormat="1" applyFont="1" applyFill="1" applyBorder="1" applyAlignment="1">
      <alignment horizontal="center"/>
    </xf>
    <xf numFmtId="3" fontId="0" fillId="3" borderId="7" xfId="1" applyNumberFormat="1" applyFont="1" applyFill="1" applyBorder="1" applyAlignment="1">
      <alignment horizontal="center"/>
    </xf>
    <xf numFmtId="168" fontId="0" fillId="3" borderId="7" xfId="1" applyNumberFormat="1" applyFont="1" applyFill="1" applyBorder="1" applyAlignment="1">
      <alignment horizontal="center"/>
    </xf>
    <xf numFmtId="168" fontId="0" fillId="0" borderId="7" xfId="1" applyNumberFormat="1" applyFont="1" applyFill="1" applyBorder="1" applyAlignment="1">
      <alignment horizontal="center"/>
    </xf>
    <xf numFmtId="168" fontId="5" fillId="0" borderId="35" xfId="0" applyNumberFormat="1" applyFont="1" applyBorder="1" applyAlignment="1">
      <alignment horizontal="left" indent="1"/>
    </xf>
    <xf numFmtId="168" fontId="5" fillId="3" borderId="35" xfId="0" applyNumberFormat="1" applyFont="1" applyFill="1" applyBorder="1" applyAlignment="1">
      <alignment horizontal="left" indent="1"/>
    </xf>
    <xf numFmtId="165" fontId="2" fillId="5" borderId="7" xfId="1" applyNumberFormat="1" applyFont="1" applyFill="1" applyBorder="1" applyAlignment="1">
      <alignment horizontal="center"/>
    </xf>
    <xf numFmtId="165" fontId="2" fillId="4" borderId="7" xfId="1" applyNumberFormat="1" applyFont="1" applyFill="1" applyBorder="1" applyAlignment="1">
      <alignment horizontal="center"/>
    </xf>
    <xf numFmtId="165" fontId="2" fillId="5" borderId="17" xfId="1" applyNumberFormat="1" applyFont="1" applyFill="1" applyBorder="1" applyAlignment="1">
      <alignment horizontal="center"/>
    </xf>
    <xf numFmtId="165" fontId="2" fillId="4" borderId="17" xfId="1" applyNumberFormat="1" applyFont="1" applyFill="1" applyBorder="1" applyAlignment="1">
      <alignment horizontal="center"/>
    </xf>
    <xf numFmtId="165" fontId="5" fillId="5" borderId="7" xfId="1" applyNumberFormat="1" applyFont="1" applyFill="1" applyBorder="1" applyAlignment="1">
      <alignment horizontal="center"/>
    </xf>
    <xf numFmtId="1" fontId="2" fillId="5" borderId="7" xfId="0" applyNumberFormat="1" applyFont="1" applyFill="1" applyBorder="1" applyAlignment="1">
      <alignment horizontal="center"/>
    </xf>
    <xf numFmtId="168" fontId="16" fillId="0" borderId="7" xfId="0" applyNumberFormat="1" applyFont="1" applyBorder="1" applyAlignment="1">
      <alignment horizontal="center"/>
    </xf>
    <xf numFmtId="168" fontId="16" fillId="3" borderId="7" xfId="0" applyNumberFormat="1" applyFont="1" applyFill="1" applyBorder="1" applyAlignment="1">
      <alignment horizontal="center"/>
    </xf>
    <xf numFmtId="165" fontId="5" fillId="5" borderId="17" xfId="1" applyNumberFormat="1" applyFont="1" applyFill="1" applyBorder="1" applyAlignment="1">
      <alignment horizontal="center"/>
    </xf>
    <xf numFmtId="1" fontId="2" fillId="5" borderId="17" xfId="0" applyNumberFormat="1" applyFont="1" applyFill="1" applyBorder="1" applyAlignment="1">
      <alignment horizontal="center"/>
    </xf>
    <xf numFmtId="165" fontId="5" fillId="4" borderId="7" xfId="1" applyNumberFormat="1" applyFont="1" applyFill="1" applyBorder="1" applyAlignment="1">
      <alignment horizontal="right" indent="2"/>
    </xf>
    <xf numFmtId="165" fontId="5" fillId="4" borderId="17" xfId="1" applyNumberFormat="1" applyFont="1" applyFill="1" applyBorder="1" applyAlignment="1">
      <alignment horizontal="right" indent="2"/>
    </xf>
    <xf numFmtId="168" fontId="2" fillId="0" borderId="7" xfId="0" applyNumberFormat="1" applyFont="1" applyBorder="1" applyAlignment="1">
      <alignment horizontal="right"/>
    </xf>
    <xf numFmtId="37" fontId="0" fillId="3" borderId="7" xfId="1" applyNumberFormat="1" applyFont="1" applyFill="1" applyBorder="1" applyAlignment="1">
      <alignment horizontal="right"/>
    </xf>
    <xf numFmtId="37" fontId="0" fillId="0" borderId="7" xfId="1" applyNumberFormat="1" applyFont="1" applyFill="1" applyBorder="1" applyAlignment="1">
      <alignment horizontal="right"/>
    </xf>
    <xf numFmtId="165" fontId="0" fillId="3" borderId="7" xfId="1" applyNumberFormat="1" applyFont="1" applyFill="1" applyBorder="1" applyAlignment="1">
      <alignment horizontal="right"/>
    </xf>
    <xf numFmtId="165" fontId="0" fillId="0" borderId="7" xfId="1" applyNumberFormat="1" applyFont="1" applyFill="1" applyBorder="1" applyAlignment="1">
      <alignment horizontal="right"/>
    </xf>
    <xf numFmtId="1" fontId="0" fillId="3" borderId="7" xfId="1" applyNumberFormat="1" applyFont="1" applyFill="1" applyBorder="1" applyAlignment="1">
      <alignment horizontal="right"/>
    </xf>
    <xf numFmtId="1" fontId="0" fillId="0" borderId="7" xfId="1" applyNumberFormat="1" applyFont="1" applyFill="1" applyBorder="1" applyAlignment="1">
      <alignment horizontal="right"/>
    </xf>
    <xf numFmtId="0" fontId="2" fillId="0" borderId="23" xfId="0" applyFont="1" applyBorder="1" applyAlignment="1">
      <alignment horizontal="center" vertical="center" wrapText="1"/>
    </xf>
    <xf numFmtId="0" fontId="0" fillId="0" borderId="19" xfId="0" applyBorder="1" applyAlignment="1">
      <alignment horizontal="center" vertical="center" wrapText="1"/>
    </xf>
    <xf numFmtId="164" fontId="0" fillId="0" borderId="19" xfId="0" applyNumberFormat="1" applyBorder="1" applyAlignment="1">
      <alignment horizontal="center" vertical="center" wrapText="1"/>
    </xf>
    <xf numFmtId="164" fontId="0" fillId="0" borderId="56" xfId="0" applyNumberFormat="1" applyBorder="1" applyAlignment="1">
      <alignment horizontal="center" vertical="center" wrapText="1"/>
    </xf>
    <xf numFmtId="164" fontId="0" fillId="0" borderId="23" xfId="0" applyNumberFormat="1" applyBorder="1" applyAlignment="1">
      <alignment horizontal="center" vertical="center" wrapText="1"/>
    </xf>
    <xf numFmtId="164" fontId="0" fillId="0" borderId="57" xfId="0" applyNumberFormat="1" applyBorder="1" applyAlignment="1">
      <alignment horizontal="center" vertical="center" wrapText="1"/>
    </xf>
    <xf numFmtId="3" fontId="0" fillId="0" borderId="7" xfId="0" applyNumberFormat="1" applyBorder="1" applyAlignment="1">
      <alignment horizontal="center"/>
    </xf>
    <xf numFmtId="3" fontId="0" fillId="3" borderId="7" xfId="0" applyNumberFormat="1" applyFill="1" applyBorder="1" applyAlignment="1">
      <alignment horizontal="center"/>
    </xf>
    <xf numFmtId="0" fontId="2" fillId="0" borderId="9" xfId="0" applyFont="1" applyBorder="1" applyAlignment="1">
      <alignment horizontal="center" vertical="center" wrapText="1"/>
    </xf>
    <xf numFmtId="0" fontId="2" fillId="0" borderId="8" xfId="0" applyFont="1" applyBorder="1" applyAlignment="1">
      <alignment horizontal="center" vertical="center"/>
    </xf>
    <xf numFmtId="0" fontId="0" fillId="3" borderId="24" xfId="0" applyFill="1" applyBorder="1" applyAlignment="1">
      <alignment horizontal="left" vertical="center" indent="1"/>
    </xf>
    <xf numFmtId="0" fontId="0" fillId="0" borderId="3" xfId="0" applyBorder="1" applyAlignment="1">
      <alignment horizontal="left" vertical="center" indent="1"/>
    </xf>
    <xf numFmtId="0" fontId="0" fillId="3" borderId="3" xfId="0" applyFill="1" applyBorder="1" applyAlignment="1">
      <alignment horizontal="left" vertical="center" indent="1"/>
    </xf>
    <xf numFmtId="175" fontId="2" fillId="0" borderId="0" xfId="0" applyNumberFormat="1" applyFont="1" applyAlignment="1">
      <alignment horizontal="center"/>
    </xf>
    <xf numFmtId="0" fontId="0" fillId="2" borderId="0" xfId="0" applyFill="1"/>
    <xf numFmtId="9" fontId="2" fillId="0" borderId="0" xfId="2" applyFont="1" applyAlignment="1">
      <alignment horizontal="center"/>
    </xf>
    <xf numFmtId="9" fontId="2" fillId="0" borderId="0" xfId="0" applyNumberFormat="1" applyFont="1" applyAlignment="1">
      <alignment horizontal="center"/>
    </xf>
    <xf numFmtId="1" fontId="0" fillId="3" borderId="58" xfId="0" applyNumberFormat="1" applyFill="1" applyBorder="1" applyAlignment="1">
      <alignment horizontal="left" vertical="center" indent="1"/>
    </xf>
    <xf numFmtId="0" fontId="0" fillId="0" borderId="59" xfId="0" applyBorder="1" applyAlignment="1">
      <alignment horizontal="left" vertical="center" indent="1"/>
    </xf>
    <xf numFmtId="0" fontId="0" fillId="3" borderId="59" xfId="0" applyFill="1" applyBorder="1" applyAlignment="1">
      <alignment horizontal="left" vertical="center" indent="1"/>
    </xf>
    <xf numFmtId="168" fontId="2" fillId="3" borderId="32" xfId="0" applyNumberFormat="1" applyFont="1" applyFill="1" applyBorder="1" applyAlignment="1">
      <alignment horizontal="center" vertical="center"/>
    </xf>
    <xf numFmtId="168" fontId="2" fillId="3" borderId="34" xfId="0" applyNumberFormat="1" applyFont="1" applyFill="1" applyBorder="1" applyAlignment="1">
      <alignment horizontal="center" vertical="center"/>
    </xf>
    <xf numFmtId="168" fontId="2" fillId="0" borderId="31" xfId="0" applyNumberFormat="1" applyFont="1" applyBorder="1" applyAlignment="1">
      <alignment horizontal="center" vertical="center"/>
    </xf>
    <xf numFmtId="168" fontId="2" fillId="0" borderId="35" xfId="0" applyNumberFormat="1" applyFont="1" applyBorder="1" applyAlignment="1">
      <alignment horizontal="center" vertical="center"/>
    </xf>
    <xf numFmtId="168" fontId="2" fillId="3" borderId="31" xfId="0" applyNumberFormat="1" applyFont="1" applyFill="1" applyBorder="1" applyAlignment="1">
      <alignment horizontal="center" vertical="center"/>
    </xf>
    <xf numFmtId="168" fontId="2" fillId="3" borderId="35" xfId="0" applyNumberFormat="1" applyFont="1" applyFill="1" applyBorder="1" applyAlignment="1">
      <alignment horizontal="center" vertical="center"/>
    </xf>
    <xf numFmtId="1" fontId="0" fillId="2" borderId="59" xfId="0" applyNumberFormat="1" applyFill="1" applyBorder="1" applyAlignment="1">
      <alignment horizontal="center" vertical="center"/>
    </xf>
    <xf numFmtId="1" fontId="0" fillId="2" borderId="29" xfId="0" applyNumberFormat="1" applyFill="1" applyBorder="1" applyAlignment="1">
      <alignment horizontal="center" vertical="center"/>
    </xf>
    <xf numFmtId="174" fontId="2" fillId="0" borderId="0" xfId="0" applyNumberFormat="1" applyFont="1"/>
    <xf numFmtId="0" fontId="9" fillId="0" borderId="37" xfId="0" applyFont="1" applyBorder="1"/>
    <xf numFmtId="0" fontId="2" fillId="0" borderId="52" xfId="0" applyFont="1" applyBorder="1"/>
    <xf numFmtId="0" fontId="9" fillId="0" borderId="38" xfId="0" applyFont="1" applyBorder="1" applyAlignment="1">
      <alignment horizontal="right"/>
    </xf>
    <xf numFmtId="0" fontId="0" fillId="0" borderId="39" xfId="0" applyBorder="1"/>
    <xf numFmtId="174" fontId="0" fillId="0" borderId="40" xfId="0" applyNumberFormat="1" applyBorder="1"/>
    <xf numFmtId="0" fontId="0" fillId="0" borderId="40" xfId="0" applyBorder="1"/>
    <xf numFmtId="0" fontId="2" fillId="0" borderId="41" xfId="0" applyFont="1" applyBorder="1" applyAlignment="1">
      <alignment horizontal="right"/>
    </xf>
    <xf numFmtId="0" fontId="2" fillId="0" borderId="25" xfId="0" applyFont="1" applyBorder="1"/>
    <xf numFmtId="174" fontId="2" fillId="0" borderId="42" xfId="0" applyNumberFormat="1" applyFont="1" applyBorder="1" applyAlignment="1">
      <alignment horizontal="right"/>
    </xf>
    <xf numFmtId="174" fontId="2" fillId="0" borderId="42" xfId="0" applyNumberFormat="1" applyFont="1" applyBorder="1"/>
    <xf numFmtId="0" fontId="0" fillId="0" borderId="25" xfId="0" applyBorder="1"/>
    <xf numFmtId="174" fontId="0" fillId="0" borderId="39" xfId="0" applyNumberFormat="1" applyBorder="1"/>
    <xf numFmtId="170" fontId="0" fillId="0" borderId="50" xfId="0" applyNumberFormat="1" applyBorder="1"/>
    <xf numFmtId="170" fontId="0" fillId="0" borderId="55" xfId="0" applyNumberFormat="1" applyBorder="1"/>
    <xf numFmtId="170" fontId="0" fillId="0" borderId="26" xfId="0" applyNumberFormat="1" applyBorder="1"/>
    <xf numFmtId="174" fontId="0" fillId="0" borderId="0" xfId="0" applyNumberFormat="1" applyAlignment="1">
      <alignment horizontal="center"/>
    </xf>
    <xf numFmtId="0" fontId="9" fillId="0" borderId="0" xfId="0" applyFont="1" applyAlignment="1">
      <alignment horizontal="left" vertical="center"/>
    </xf>
    <xf numFmtId="174" fontId="2" fillId="0" borderId="7" xfId="0" applyNumberFormat="1" applyFont="1" applyBorder="1" applyAlignment="1">
      <alignment horizontal="center"/>
    </xf>
    <xf numFmtId="174" fontId="2" fillId="0" borderId="0" xfId="0" applyNumberFormat="1" applyFont="1" applyAlignment="1">
      <alignment horizontal="center"/>
    </xf>
    <xf numFmtId="0" fontId="9" fillId="2" borderId="37" xfId="0" applyFont="1" applyFill="1" applyBorder="1"/>
    <xf numFmtId="0" fontId="2" fillId="2" borderId="52" xfId="0" applyFont="1" applyFill="1" applyBorder="1"/>
    <xf numFmtId="0" fontId="9" fillId="2" borderId="38" xfId="0" applyFont="1" applyFill="1" applyBorder="1" applyAlignment="1">
      <alignment horizontal="right"/>
    </xf>
    <xf numFmtId="0" fontId="0" fillId="2" borderId="39" xfId="0" applyFill="1" applyBorder="1"/>
    <xf numFmtId="174" fontId="0" fillId="2" borderId="40" xfId="0" applyNumberFormat="1" applyFill="1" applyBorder="1"/>
    <xf numFmtId="0" fontId="0" fillId="2" borderId="40" xfId="0" applyFill="1" applyBorder="1"/>
    <xf numFmtId="0" fontId="2" fillId="2" borderId="41" xfId="0" applyFont="1" applyFill="1" applyBorder="1" applyAlignment="1">
      <alignment horizontal="right"/>
    </xf>
    <xf numFmtId="174" fontId="2" fillId="2" borderId="42" xfId="0" applyNumberFormat="1" applyFont="1" applyFill="1" applyBorder="1"/>
    <xf numFmtId="0" fontId="2" fillId="2" borderId="25" xfId="0" applyFont="1" applyFill="1" applyBorder="1"/>
    <xf numFmtId="1" fontId="0" fillId="10" borderId="59" xfId="0" applyNumberFormat="1" applyFill="1" applyBorder="1" applyAlignment="1">
      <alignment horizontal="center" vertical="center"/>
    </xf>
    <xf numFmtId="1" fontId="0" fillId="10" borderId="29" xfId="0" applyNumberFormat="1" applyFill="1" applyBorder="1" applyAlignment="1">
      <alignment horizontal="center" vertical="center"/>
    </xf>
    <xf numFmtId="1" fontId="0" fillId="5" borderId="58" xfId="0" applyNumberFormat="1" applyFill="1" applyBorder="1" applyAlignment="1">
      <alignment horizontal="center" vertical="center"/>
    </xf>
    <xf numFmtId="1" fontId="0" fillId="5" borderId="28" xfId="0" applyNumberFormat="1" applyFill="1" applyBorder="1" applyAlignment="1">
      <alignment horizontal="center" vertical="center"/>
    </xf>
    <xf numFmtId="3" fontId="5" fillId="4" borderId="7" xfId="0" applyNumberFormat="1" applyFont="1" applyFill="1" applyBorder="1" applyAlignment="1">
      <alignment horizontal="right"/>
    </xf>
    <xf numFmtId="9" fontId="5" fillId="4" borderId="7" xfId="0" applyNumberFormat="1" applyFont="1" applyFill="1" applyBorder="1" applyAlignment="1">
      <alignment horizontal="right"/>
    </xf>
    <xf numFmtId="0" fontId="2" fillId="0" borderId="4" xfId="0" applyFont="1" applyBorder="1" applyAlignment="1">
      <alignment horizontal="left" vertical="center" indent="1"/>
    </xf>
    <xf numFmtId="0" fontId="0" fillId="0" borderId="2" xfId="0" applyBorder="1" applyAlignment="1">
      <alignment horizontal="left" vertical="center" indent="1"/>
    </xf>
    <xf numFmtId="0" fontId="0" fillId="0" borderId="4" xfId="0" applyBorder="1" applyAlignment="1">
      <alignment horizontal="left" vertical="center" indent="1"/>
    </xf>
    <xf numFmtId="168" fontId="2" fillId="0" borderId="33" xfId="0" applyNumberFormat="1" applyFont="1" applyBorder="1" applyAlignment="1">
      <alignment horizontal="center" vertical="center"/>
    </xf>
    <xf numFmtId="168" fontId="2" fillId="0" borderId="36" xfId="0" applyNumberFormat="1" applyFont="1" applyBorder="1" applyAlignment="1">
      <alignment horizontal="center" vertical="center"/>
    </xf>
    <xf numFmtId="168" fontId="0" fillId="0" borderId="33" xfId="0" applyNumberFormat="1" applyBorder="1" applyAlignment="1">
      <alignment horizontal="center" vertical="center"/>
    </xf>
    <xf numFmtId="168" fontId="0" fillId="0" borderId="17" xfId="0" applyNumberFormat="1" applyBorder="1" applyAlignment="1">
      <alignment horizontal="center" vertical="center"/>
    </xf>
    <xf numFmtId="168" fontId="0" fillId="0" borderId="36" xfId="0" applyNumberFormat="1" applyBorder="1" applyAlignment="1">
      <alignment horizontal="center" vertical="center"/>
    </xf>
    <xf numFmtId="0" fontId="2" fillId="0" borderId="18"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60" xfId="0" applyBorder="1" applyAlignment="1">
      <alignment horizontal="center" vertical="center"/>
    </xf>
    <xf numFmtId="0" fontId="0" fillId="0" borderId="61" xfId="0" applyBorder="1" applyAlignment="1">
      <alignment horizontal="center" vertical="center"/>
    </xf>
    <xf numFmtId="164" fontId="0" fillId="0" borderId="20"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62" xfId="0" applyNumberFormat="1" applyBorder="1" applyAlignment="1">
      <alignment horizontal="center" vertical="center" wrapText="1"/>
    </xf>
    <xf numFmtId="0" fontId="0" fillId="0" borderId="18" xfId="0" applyBorder="1" applyAlignment="1">
      <alignment horizontal="center" vertical="center"/>
    </xf>
    <xf numFmtId="165" fontId="2" fillId="0" borderId="7" xfId="0" applyNumberFormat="1" applyFont="1" applyBorder="1" applyAlignment="1">
      <alignment horizontal="center"/>
    </xf>
    <xf numFmtId="1" fontId="0" fillId="0" borderId="7" xfId="0" applyNumberFormat="1" applyBorder="1" applyAlignment="1">
      <alignment horizontal="center"/>
    </xf>
    <xf numFmtId="41" fontId="0" fillId="0" borderId="7" xfId="1" applyNumberFormat="1" applyFont="1" applyFill="1" applyBorder="1" applyAlignment="1">
      <alignment horizontal="right"/>
    </xf>
    <xf numFmtId="165" fontId="2" fillId="3" borderId="7" xfId="0" applyNumberFormat="1" applyFont="1" applyFill="1" applyBorder="1" applyAlignment="1">
      <alignment horizontal="center"/>
    </xf>
    <xf numFmtId="1" fontId="0" fillId="3" borderId="7" xfId="0" applyNumberFormat="1" applyFill="1" applyBorder="1" applyAlignment="1">
      <alignment horizontal="center"/>
    </xf>
    <xf numFmtId="0" fontId="2" fillId="3" borderId="7" xfId="0" applyFont="1" applyFill="1" applyBorder="1"/>
    <xf numFmtId="41" fontId="0" fillId="3" borderId="7" xfId="1" applyNumberFormat="1" applyFont="1" applyFill="1" applyBorder="1" applyAlignment="1">
      <alignment horizontal="right"/>
    </xf>
    <xf numFmtId="165" fontId="4" fillId="0" borderId="7" xfId="1" applyNumberFormat="1" applyFont="1" applyFill="1" applyBorder="1" applyAlignment="1">
      <alignment horizontal="right"/>
    </xf>
    <xf numFmtId="168" fontId="0" fillId="0" borderId="17" xfId="0" applyNumberFormat="1" applyBorder="1" applyAlignment="1">
      <alignment horizontal="center"/>
    </xf>
    <xf numFmtId="166" fontId="0" fillId="0" borderId="17" xfId="1" applyNumberFormat="1" applyFont="1" applyFill="1" applyBorder="1" applyAlignment="1">
      <alignment horizontal="center"/>
    </xf>
    <xf numFmtId="165" fontId="0" fillId="0" borderId="17" xfId="1" applyNumberFormat="1" applyFont="1" applyFill="1" applyBorder="1" applyAlignment="1">
      <alignment horizontal="center"/>
    </xf>
    <xf numFmtId="170" fontId="0" fillId="0" borderId="17" xfId="1" applyNumberFormat="1" applyFont="1" applyFill="1" applyBorder="1" applyAlignment="1">
      <alignment horizontal="center"/>
    </xf>
    <xf numFmtId="3" fontId="0" fillId="0" borderId="17" xfId="1" applyNumberFormat="1" applyFont="1" applyFill="1" applyBorder="1" applyAlignment="1">
      <alignment horizontal="center"/>
    </xf>
    <xf numFmtId="165" fontId="2" fillId="0" borderId="17" xfId="1" applyNumberFormat="1" applyFont="1" applyFill="1" applyBorder="1" applyAlignment="1">
      <alignment horizontal="center"/>
    </xf>
    <xf numFmtId="167" fontId="0" fillId="0" borderId="17" xfId="1" applyNumberFormat="1" applyFont="1" applyFill="1" applyBorder="1" applyAlignment="1">
      <alignment horizontal="center"/>
    </xf>
    <xf numFmtId="168" fontId="0" fillId="0" borderId="17" xfId="1" applyNumberFormat="1" applyFont="1" applyFill="1" applyBorder="1" applyAlignment="1">
      <alignment horizontal="center"/>
    </xf>
    <xf numFmtId="168" fontId="5" fillId="0" borderId="36" xfId="0" applyNumberFormat="1" applyFont="1" applyBorder="1" applyAlignment="1">
      <alignment horizontal="left" indent="1"/>
    </xf>
    <xf numFmtId="168" fontId="5" fillId="0" borderId="36" xfId="0" applyNumberFormat="1" applyFont="1" applyBorder="1" applyAlignment="1">
      <alignment horizontal="left"/>
    </xf>
    <xf numFmtId="168" fontId="2" fillId="0" borderId="36" xfId="0" applyNumberFormat="1" applyFont="1" applyBorder="1" applyAlignment="1">
      <alignment horizontal="left"/>
    </xf>
    <xf numFmtId="3" fontId="0" fillId="0" borderId="17" xfId="0" applyNumberFormat="1" applyBorder="1" applyAlignment="1">
      <alignment horizontal="center"/>
    </xf>
    <xf numFmtId="168" fontId="16" fillId="0" borderId="17" xfId="0" applyNumberFormat="1" applyFont="1" applyBorder="1" applyAlignment="1">
      <alignment horizontal="center"/>
    </xf>
    <xf numFmtId="3" fontId="16" fillId="3" borderId="7" xfId="0" applyNumberFormat="1" applyFont="1" applyFill="1" applyBorder="1" applyAlignment="1">
      <alignment horizontal="center"/>
    </xf>
    <xf numFmtId="37" fontId="0" fillId="0" borderId="0" xfId="1" applyNumberFormat="1" applyFont="1" applyFill="1" applyBorder="1" applyAlignment="1"/>
    <xf numFmtId="1" fontId="0" fillId="0" borderId="59" xfId="0" applyNumberFormat="1" applyBorder="1" applyAlignment="1">
      <alignment horizontal="left" vertical="center" indent="1"/>
    </xf>
    <xf numFmtId="0" fontId="3" fillId="2" borderId="0" xfId="0" applyFont="1" applyFill="1" applyAlignment="1">
      <alignment horizontal="left" vertical="center" indent="5"/>
    </xf>
    <xf numFmtId="0" fontId="0" fillId="0" borderId="20" xfId="0" applyBorder="1"/>
    <xf numFmtId="0" fontId="0" fillId="2" borderId="0" xfId="0" applyFill="1" applyAlignment="1">
      <alignment horizontal="center"/>
    </xf>
    <xf numFmtId="0" fontId="2" fillId="0" borderId="0" xfId="0" applyFont="1" applyAlignment="1">
      <alignment horizontal="center" vertical="center" wrapText="1"/>
    </xf>
    <xf numFmtId="0" fontId="0" fillId="4" borderId="0" xfId="0" applyFill="1" applyAlignment="1">
      <alignment horizontal="center" vertical="center"/>
    </xf>
    <xf numFmtId="1" fontId="2" fillId="0" borderId="7" xfId="0" applyNumberFormat="1" applyFont="1" applyBorder="1" applyAlignment="1">
      <alignment horizontal="center"/>
    </xf>
    <xf numFmtId="0" fontId="0" fillId="0" borderId="0" xfId="0" applyAlignment="1">
      <alignment horizontal="center" vertical="center"/>
    </xf>
    <xf numFmtId="0" fontId="2" fillId="0" borderId="6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51" xfId="0" applyFont="1" applyBorder="1" applyAlignment="1">
      <alignment horizontal="left" vertical="center" indent="1"/>
    </xf>
    <xf numFmtId="0" fontId="0" fillId="0" borderId="51" xfId="0" applyBorder="1" applyAlignment="1">
      <alignment horizontal="left" vertical="center" indent="1"/>
    </xf>
    <xf numFmtId="1" fontId="0" fillId="2" borderId="51" xfId="0" applyNumberFormat="1" applyFill="1" applyBorder="1" applyAlignment="1">
      <alignment horizontal="center" vertical="center"/>
    </xf>
    <xf numFmtId="0" fontId="0" fillId="0" borderId="6" xfId="0" applyBorder="1" applyAlignment="1">
      <alignment horizontal="center" vertical="center"/>
    </xf>
    <xf numFmtId="0" fontId="2" fillId="0" borderId="65" xfId="0" applyFont="1" applyBorder="1" applyAlignment="1">
      <alignment horizontal="left" vertical="center" indent="1"/>
    </xf>
    <xf numFmtId="0" fontId="0" fillId="0" borderId="65" xfId="0" applyBorder="1" applyAlignment="1">
      <alignment horizontal="left" vertical="center" indent="1"/>
    </xf>
    <xf numFmtId="1" fontId="0" fillId="0" borderId="65" xfId="0" applyNumberFormat="1" applyBorder="1" applyAlignment="1">
      <alignment horizontal="center" vertical="center"/>
    </xf>
    <xf numFmtId="0" fontId="2" fillId="3" borderId="29" xfId="0" applyFont="1" applyFill="1" applyBorder="1" applyAlignment="1">
      <alignment horizontal="left" vertical="center" indent="1"/>
    </xf>
    <xf numFmtId="0" fontId="0" fillId="3" borderId="29" xfId="0" applyFill="1" applyBorder="1" applyAlignment="1">
      <alignment horizontal="left" vertical="center" indent="1"/>
    </xf>
    <xf numFmtId="168" fontId="2" fillId="3" borderId="66" xfId="0" applyNumberFormat="1" applyFont="1" applyFill="1" applyBorder="1" applyAlignment="1">
      <alignment horizontal="center" vertical="center"/>
    </xf>
    <xf numFmtId="168" fontId="2" fillId="3" borderId="67" xfId="0" applyNumberFormat="1" applyFont="1" applyFill="1" applyBorder="1" applyAlignment="1">
      <alignment horizontal="center" vertical="center"/>
    </xf>
    <xf numFmtId="168" fontId="0" fillId="3" borderId="66" xfId="0" applyNumberFormat="1" applyFill="1" applyBorder="1" applyAlignment="1">
      <alignment horizontal="center" vertical="center"/>
    </xf>
    <xf numFmtId="168" fontId="0" fillId="3" borderId="55" xfId="0" applyNumberFormat="1" applyFill="1" applyBorder="1" applyAlignment="1">
      <alignment horizontal="center" vertical="center"/>
    </xf>
    <xf numFmtId="168" fontId="0" fillId="3" borderId="67" xfId="0" applyNumberFormat="1" applyFill="1" applyBorder="1" applyAlignment="1">
      <alignment horizontal="center" vertical="center"/>
    </xf>
    <xf numFmtId="0" fontId="2" fillId="0" borderId="32"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1" fontId="2" fillId="0" borderId="16" xfId="0" applyNumberFormat="1" applyFont="1" applyBorder="1" applyAlignment="1">
      <alignment horizontal="center" vertical="center" wrapText="1"/>
    </xf>
    <xf numFmtId="164" fontId="2" fillId="0" borderId="16" xfId="0" applyNumberFormat="1" applyFont="1" applyBorder="1" applyAlignment="1">
      <alignment horizontal="center" vertical="center" wrapText="1"/>
    </xf>
    <xf numFmtId="0" fontId="2" fillId="9" borderId="16" xfId="0" applyFont="1" applyFill="1" applyBorder="1" applyAlignment="1">
      <alignment horizontal="center" vertical="center" wrapText="1"/>
    </xf>
    <xf numFmtId="164" fontId="2" fillId="6" borderId="16" xfId="0" applyNumberFormat="1" applyFont="1" applyFill="1" applyBorder="1" applyAlignment="1">
      <alignment horizontal="center" vertical="center" wrapText="1"/>
    </xf>
    <xf numFmtId="164" fontId="2" fillId="4" borderId="16" xfId="0" applyNumberFormat="1"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0" borderId="34" xfId="0" applyFont="1" applyBorder="1" applyAlignment="1">
      <alignment horizontal="center" vertical="center"/>
    </xf>
    <xf numFmtId="37" fontId="0" fillId="3" borderId="7" xfId="1" applyNumberFormat="1" applyFont="1" applyFill="1" applyBorder="1" applyAlignment="1">
      <alignment horizontal="center"/>
    </xf>
    <xf numFmtId="170" fontId="0" fillId="2" borderId="7" xfId="1" applyNumberFormat="1" applyFont="1" applyFill="1" applyBorder="1" applyAlignment="1">
      <alignment horizontal="center"/>
    </xf>
    <xf numFmtId="165" fontId="5" fillId="9" borderId="7" xfId="1" applyNumberFormat="1" applyFont="1" applyFill="1" applyBorder="1" applyAlignment="1">
      <alignment horizontal="center"/>
    </xf>
    <xf numFmtId="49" fontId="0" fillId="2" borderId="7" xfId="0" applyNumberFormat="1" applyFill="1" applyBorder="1" applyAlignment="1">
      <alignment horizontal="center"/>
    </xf>
    <xf numFmtId="169" fontId="0" fillId="3" borderId="7" xfId="0" applyNumberFormat="1" applyFill="1" applyBorder="1" applyAlignment="1">
      <alignment horizontal="center"/>
    </xf>
    <xf numFmtId="1" fontId="0" fillId="3" borderId="7" xfId="1" applyNumberFormat="1" applyFont="1" applyFill="1" applyBorder="1" applyAlignment="1">
      <alignment horizontal="center"/>
    </xf>
    <xf numFmtId="37" fontId="0" fillId="0" borderId="7" xfId="1" applyNumberFormat="1" applyFont="1" applyFill="1" applyBorder="1" applyAlignment="1">
      <alignment horizontal="center"/>
    </xf>
    <xf numFmtId="169" fontId="0" fillId="0" borderId="7" xfId="0" applyNumberFormat="1" applyBorder="1" applyAlignment="1">
      <alignment horizontal="center"/>
    </xf>
    <xf numFmtId="1" fontId="0" fillId="0" borderId="7" xfId="1" applyNumberFormat="1" applyFont="1" applyFill="1" applyBorder="1" applyAlignment="1">
      <alignment horizontal="center"/>
    </xf>
    <xf numFmtId="165" fontId="5" fillId="11" borderId="7" xfId="1" applyNumberFormat="1" applyFont="1" applyFill="1" applyBorder="1" applyAlignment="1">
      <alignment horizontal="center"/>
    </xf>
    <xf numFmtId="170" fontId="0" fillId="2" borderId="17" xfId="1" applyNumberFormat="1" applyFont="1" applyFill="1" applyBorder="1" applyAlignment="1">
      <alignment horizontal="center"/>
    </xf>
    <xf numFmtId="165" fontId="5" fillId="11" borderId="17" xfId="1" applyNumberFormat="1" applyFont="1" applyFill="1" applyBorder="1" applyAlignment="1">
      <alignment horizontal="center"/>
    </xf>
    <xf numFmtId="49" fontId="0" fillId="2" borderId="17" xfId="0" applyNumberFormat="1" applyFill="1" applyBorder="1" applyAlignment="1">
      <alignment horizontal="center"/>
    </xf>
    <xf numFmtId="41" fontId="0" fillId="3" borderId="7" xfId="1" applyNumberFormat="1" applyFont="1" applyFill="1" applyBorder="1" applyAlignment="1">
      <alignment horizontal="center"/>
    </xf>
    <xf numFmtId="37" fontId="0" fillId="0" borderId="17" xfId="1" applyNumberFormat="1" applyFont="1" applyFill="1" applyBorder="1" applyAlignment="1">
      <alignment horizontal="center"/>
    </xf>
    <xf numFmtId="1" fontId="0" fillId="0" borderId="17" xfId="1" applyNumberFormat="1" applyFont="1" applyFill="1" applyBorder="1" applyAlignment="1">
      <alignment horizontal="center"/>
    </xf>
    <xf numFmtId="0" fontId="0" fillId="3" borderId="7" xfId="0" applyFill="1" applyBorder="1" applyAlignment="1">
      <alignment horizontal="left"/>
    </xf>
    <xf numFmtId="0" fontId="2" fillId="3" borderId="31" xfId="0" applyFont="1" applyFill="1" applyBorder="1" applyAlignment="1">
      <alignment horizontal="left" indent="1"/>
    </xf>
    <xf numFmtId="0" fontId="2" fillId="0" borderId="31" xfId="0" applyFont="1" applyBorder="1" applyAlignment="1">
      <alignment horizontal="left" indent="1"/>
    </xf>
    <xf numFmtId="0" fontId="2" fillId="3" borderId="31" xfId="0" applyFont="1" applyFill="1" applyBorder="1"/>
    <xf numFmtId="0" fontId="2" fillId="0" borderId="31" xfId="0" applyFont="1" applyBorder="1" applyAlignment="1">
      <alignment horizontal="left"/>
    </xf>
    <xf numFmtId="0" fontId="2" fillId="3" borderId="31" xfId="0" applyFont="1" applyFill="1" applyBorder="1" applyAlignment="1">
      <alignment horizontal="left"/>
    </xf>
    <xf numFmtId="164" fontId="0" fillId="0" borderId="68" xfId="0" applyNumberFormat="1" applyBorder="1" applyAlignment="1">
      <alignment horizontal="center" vertical="center" wrapText="1"/>
    </xf>
    <xf numFmtId="164" fontId="0" fillId="5" borderId="23" xfId="0" applyNumberFormat="1" applyFill="1" applyBorder="1" applyAlignment="1">
      <alignment horizontal="center" vertical="center" wrapText="1"/>
    </xf>
    <xf numFmtId="164" fontId="0" fillId="5" borderId="69" xfId="0" applyNumberFormat="1" applyFill="1" applyBorder="1" applyAlignment="1">
      <alignment horizontal="center" vertical="center" wrapText="1"/>
    </xf>
    <xf numFmtId="164" fontId="0" fillId="4" borderId="68" xfId="0" applyNumberFormat="1" applyFill="1" applyBorder="1" applyAlignment="1">
      <alignment horizontal="center" vertical="center" wrapText="1"/>
    </xf>
    <xf numFmtId="164" fontId="0" fillId="4" borderId="23" xfId="0" applyNumberFormat="1" applyFill="1" applyBorder="1" applyAlignment="1">
      <alignment horizontal="center" vertical="center" wrapText="1"/>
    </xf>
    <xf numFmtId="164" fontId="0" fillId="4" borderId="69" xfId="0" applyNumberFormat="1" applyFill="1" applyBorder="1" applyAlignment="1">
      <alignment horizontal="center" vertical="center" wrapText="1"/>
    </xf>
    <xf numFmtId="165" fontId="2" fillId="3" borderId="70" xfId="0" applyNumberFormat="1" applyFont="1" applyFill="1" applyBorder="1" applyAlignment="1">
      <alignment horizontal="center"/>
    </xf>
    <xf numFmtId="165" fontId="2" fillId="3" borderId="47" xfId="0" applyNumberFormat="1" applyFont="1" applyFill="1" applyBorder="1" applyAlignment="1">
      <alignment horizontal="center"/>
    </xf>
    <xf numFmtId="1" fontId="0" fillId="3" borderId="47" xfId="0" applyNumberFormat="1" applyFill="1" applyBorder="1" applyAlignment="1">
      <alignment horizontal="center"/>
    </xf>
    <xf numFmtId="0" fontId="2" fillId="3" borderId="47" xfId="0" applyFont="1" applyFill="1" applyBorder="1"/>
    <xf numFmtId="0" fontId="0" fillId="3" borderId="47" xfId="0" applyFill="1" applyBorder="1"/>
    <xf numFmtId="168" fontId="0" fillId="3" borderId="47" xfId="0" applyNumberFormat="1" applyFill="1" applyBorder="1" applyAlignment="1">
      <alignment horizontal="center"/>
    </xf>
    <xf numFmtId="165" fontId="0" fillId="3" borderId="47" xfId="1" applyNumberFormat="1" applyFont="1" applyFill="1" applyBorder="1" applyAlignment="1">
      <alignment horizontal="right"/>
    </xf>
    <xf numFmtId="37" fontId="0" fillId="3" borderId="47" xfId="1" applyNumberFormat="1" applyFont="1" applyFill="1" applyBorder="1" applyAlignment="1">
      <alignment horizontal="right"/>
    </xf>
    <xf numFmtId="1" fontId="0" fillId="3" borderId="47" xfId="1" applyNumberFormat="1" applyFont="1" applyFill="1" applyBorder="1" applyAlignment="1">
      <alignment horizontal="right"/>
    </xf>
    <xf numFmtId="41" fontId="0" fillId="3" borderId="47" xfId="1" applyNumberFormat="1" applyFont="1" applyFill="1" applyBorder="1" applyAlignment="1">
      <alignment horizontal="right"/>
    </xf>
    <xf numFmtId="1" fontId="2" fillId="5" borderId="47" xfId="0" applyNumberFormat="1" applyFont="1" applyFill="1" applyBorder="1" applyAlignment="1">
      <alignment horizontal="center"/>
    </xf>
    <xf numFmtId="1" fontId="2" fillId="4" borderId="47" xfId="0" applyNumberFormat="1" applyFont="1" applyFill="1" applyBorder="1" applyAlignment="1">
      <alignment horizontal="center"/>
    </xf>
    <xf numFmtId="1" fontId="2" fillId="4" borderId="71" xfId="0" applyNumberFormat="1" applyFont="1" applyFill="1" applyBorder="1" applyAlignment="1">
      <alignment horizontal="center"/>
    </xf>
    <xf numFmtId="165" fontId="2" fillId="0" borderId="72" xfId="0" applyNumberFormat="1" applyFont="1" applyBorder="1" applyAlignment="1">
      <alignment horizontal="center"/>
    </xf>
    <xf numFmtId="1" fontId="2" fillId="4" borderId="73" xfId="0" applyNumberFormat="1" applyFont="1" applyFill="1" applyBorder="1" applyAlignment="1">
      <alignment horizontal="center"/>
    </xf>
    <xf numFmtId="165" fontId="2" fillId="3" borderId="72" xfId="0" applyNumberFormat="1" applyFont="1" applyFill="1" applyBorder="1" applyAlignment="1">
      <alignment horizontal="center"/>
    </xf>
    <xf numFmtId="1" fontId="2" fillId="0" borderId="75" xfId="0" applyNumberFormat="1" applyFont="1" applyBorder="1" applyAlignment="1">
      <alignment horizontal="center"/>
    </xf>
    <xf numFmtId="1" fontId="2" fillId="5" borderId="75" xfId="0" applyNumberFormat="1" applyFont="1" applyFill="1" applyBorder="1" applyAlignment="1">
      <alignment horizontal="center"/>
    </xf>
    <xf numFmtId="165" fontId="0" fillId="0" borderId="75" xfId="1" applyNumberFormat="1" applyFont="1" applyFill="1" applyBorder="1" applyAlignment="1">
      <alignment horizontal="right"/>
    </xf>
    <xf numFmtId="37" fontId="0" fillId="0" borderId="75" xfId="1" applyNumberFormat="1" applyFont="1" applyFill="1" applyBorder="1" applyAlignment="1">
      <alignment horizontal="right"/>
    </xf>
    <xf numFmtId="1" fontId="0" fillId="0" borderId="75" xfId="1" applyNumberFormat="1" applyFont="1" applyFill="1" applyBorder="1" applyAlignment="1">
      <alignment horizontal="right"/>
    </xf>
    <xf numFmtId="41" fontId="0" fillId="0" borderId="75" xfId="1" applyNumberFormat="1" applyFont="1" applyFill="1" applyBorder="1" applyAlignment="1">
      <alignment horizontal="right"/>
    </xf>
    <xf numFmtId="0" fontId="2" fillId="0" borderId="77" xfId="0" applyFont="1" applyBorder="1" applyAlignment="1">
      <alignment horizontal="center" vertical="center"/>
    </xf>
    <xf numFmtId="1" fontId="2" fillId="3" borderId="47" xfId="0" applyNumberFormat="1" applyFont="1" applyFill="1" applyBorder="1" applyAlignment="1">
      <alignment horizontal="center"/>
    </xf>
    <xf numFmtId="1" fontId="2" fillId="3" borderId="47" xfId="0" applyNumberFormat="1" applyFont="1" applyFill="1" applyBorder="1" applyAlignment="1">
      <alignment horizontal="left"/>
    </xf>
    <xf numFmtId="0" fontId="2" fillId="3" borderId="7" xfId="0" applyFont="1" applyFill="1" applyBorder="1" applyAlignment="1">
      <alignment horizontal="left"/>
    </xf>
    <xf numFmtId="165" fontId="2" fillId="0" borderId="74" xfId="0" applyNumberFormat="1" applyFont="1" applyBorder="1" applyAlignment="1">
      <alignment horizontal="center"/>
    </xf>
    <xf numFmtId="165" fontId="2" fillId="0" borderId="75" xfId="0" applyNumberFormat="1" applyFont="1" applyBorder="1" applyAlignment="1">
      <alignment horizontal="center"/>
    </xf>
    <xf numFmtId="0" fontId="0" fillId="0" borderId="75" xfId="0" applyBorder="1" applyAlignment="1">
      <alignment horizontal="center"/>
    </xf>
    <xf numFmtId="0" fontId="0" fillId="0" borderId="75" xfId="0" applyBorder="1" applyAlignment="1">
      <alignment horizontal="left"/>
    </xf>
    <xf numFmtId="168" fontId="0" fillId="0" borderId="75" xfId="0" applyNumberFormat="1" applyBorder="1" applyAlignment="1">
      <alignment horizontal="center"/>
    </xf>
    <xf numFmtId="0" fontId="2" fillId="0" borderId="75" xfId="0" applyFont="1" applyBorder="1" applyAlignment="1">
      <alignment horizontal="left"/>
    </xf>
    <xf numFmtId="0" fontId="0" fillId="3" borderId="7" xfId="0" applyFill="1" applyBorder="1" applyAlignment="1">
      <alignment horizontal="center"/>
    </xf>
    <xf numFmtId="1" fontId="2" fillId="3" borderId="7" xfId="0" applyNumberFormat="1" applyFont="1" applyFill="1" applyBorder="1" applyAlignment="1">
      <alignment horizontal="center"/>
    </xf>
    <xf numFmtId="1" fontId="2" fillId="12" borderId="7" xfId="0" applyNumberFormat="1" applyFont="1" applyFill="1" applyBorder="1" applyAlignment="1">
      <alignment horizontal="center"/>
    </xf>
    <xf numFmtId="1" fontId="2" fillId="12" borderId="73" xfId="0" applyNumberFormat="1" applyFont="1" applyFill="1" applyBorder="1" applyAlignment="1">
      <alignment horizontal="center"/>
    </xf>
    <xf numFmtId="1" fontId="2" fillId="12" borderId="75" xfId="0" applyNumberFormat="1" applyFont="1" applyFill="1" applyBorder="1" applyAlignment="1">
      <alignment horizontal="center"/>
    </xf>
    <xf numFmtId="1" fontId="2" fillId="12" borderId="76" xfId="0" applyNumberFormat="1" applyFont="1" applyFill="1" applyBorder="1" applyAlignment="1">
      <alignment horizontal="center"/>
    </xf>
    <xf numFmtId="0" fontId="2" fillId="0" borderId="33" xfId="0" applyFont="1" applyBorder="1" applyAlignment="1">
      <alignment horizontal="left" indent="1"/>
    </xf>
    <xf numFmtId="169" fontId="0" fillId="0" borderId="17" xfId="0" applyNumberFormat="1" applyBorder="1" applyAlignment="1">
      <alignment horizontal="center"/>
    </xf>
    <xf numFmtId="0" fontId="2" fillId="0" borderId="33" xfId="0" applyFont="1" applyBorder="1" applyAlignment="1">
      <alignment horizontal="left"/>
    </xf>
    <xf numFmtId="168" fontId="0" fillId="2" borderId="0" xfId="0" applyNumberFormat="1" applyFill="1"/>
    <xf numFmtId="174" fontId="0" fillId="2" borderId="0" xfId="0" applyNumberFormat="1" applyFill="1" applyAlignment="1">
      <alignment horizontal="center"/>
    </xf>
    <xf numFmtId="176" fontId="0" fillId="0" borderId="0" xfId="0" applyNumberFormat="1"/>
    <xf numFmtId="176" fontId="0" fillId="0" borderId="0" xfId="0" applyNumberFormat="1" applyAlignment="1">
      <alignment horizontal="center"/>
    </xf>
    <xf numFmtId="2" fontId="0" fillId="9" borderId="0" xfId="0" applyNumberFormat="1" applyFill="1" applyAlignment="1">
      <alignment horizontal="center"/>
    </xf>
    <xf numFmtId="0" fontId="9" fillId="4" borderId="37" xfId="0" applyFont="1" applyFill="1" applyBorder="1"/>
    <xf numFmtId="0" fontId="2" fillId="4" borderId="52" xfId="0" applyFont="1" applyFill="1" applyBorder="1"/>
    <xf numFmtId="0" fontId="9" fillId="4" borderId="38" xfId="0" applyFont="1" applyFill="1" applyBorder="1" applyAlignment="1">
      <alignment horizontal="right"/>
    </xf>
    <xf numFmtId="0" fontId="0" fillId="4" borderId="39" xfId="0" applyFill="1" applyBorder="1"/>
    <xf numFmtId="0" fontId="0" fillId="4" borderId="0" xfId="0" applyFill="1"/>
    <xf numFmtId="174" fontId="0" fillId="4" borderId="40" xfId="0" applyNumberFormat="1" applyFill="1" applyBorder="1"/>
    <xf numFmtId="0" fontId="0" fillId="4" borderId="40" xfId="0" applyFill="1" applyBorder="1"/>
    <xf numFmtId="0" fontId="2" fillId="4" borderId="41" xfId="0" applyFont="1" applyFill="1" applyBorder="1" applyAlignment="1">
      <alignment horizontal="right"/>
    </xf>
    <xf numFmtId="0" fontId="2" fillId="4" borderId="25" xfId="0" applyFont="1" applyFill="1" applyBorder="1"/>
    <xf numFmtId="174" fontId="2" fillId="4" borderId="42" xfId="0" applyNumberFormat="1" applyFont="1" applyFill="1" applyBorder="1"/>
    <xf numFmtId="165" fontId="0" fillId="0" borderId="7" xfId="0" applyNumberFormat="1" applyBorder="1" applyAlignment="1">
      <alignment horizontal="center"/>
    </xf>
    <xf numFmtId="165" fontId="0" fillId="0" borderId="17" xfId="0" applyNumberFormat="1" applyBorder="1" applyAlignment="1">
      <alignment horizontal="center"/>
    </xf>
    <xf numFmtId="165" fontId="0" fillId="3" borderId="7" xfId="0" applyNumberFormat="1" applyFill="1" applyBorder="1" applyAlignment="1">
      <alignment horizontal="center"/>
    </xf>
    <xf numFmtId="174" fontId="0" fillId="3" borderId="7" xfId="1" applyNumberFormat="1" applyFont="1" applyFill="1" applyBorder="1" applyAlignment="1">
      <alignment horizontal="center"/>
    </xf>
    <xf numFmtId="37" fontId="5" fillId="0" borderId="7" xfId="0" applyNumberFormat="1" applyFont="1" applyBorder="1" applyAlignment="1">
      <alignment horizontal="right"/>
    </xf>
    <xf numFmtId="37" fontId="2" fillId="0" borderId="7" xfId="0" applyNumberFormat="1" applyFont="1" applyBorder="1" applyAlignment="1">
      <alignment horizontal="right"/>
    </xf>
    <xf numFmtId="177" fontId="2" fillId="0" borderId="7" xfId="0" applyNumberFormat="1" applyFont="1" applyBorder="1" applyAlignment="1">
      <alignment horizontal="right"/>
    </xf>
    <xf numFmtId="0" fontId="2" fillId="3" borderId="7" xfId="0" applyFont="1" applyFill="1" applyBorder="1" applyAlignment="1">
      <alignment horizontal="left" indent="1"/>
    </xf>
    <xf numFmtId="0" fontId="2" fillId="0" borderId="7" xfId="0" applyFont="1" applyBorder="1" applyAlignment="1">
      <alignment horizontal="left" indent="1"/>
    </xf>
    <xf numFmtId="0" fontId="2" fillId="0" borderId="17" xfId="0" applyFont="1" applyBorder="1" applyAlignment="1">
      <alignment horizontal="left" indent="1"/>
    </xf>
    <xf numFmtId="0" fontId="5" fillId="3" borderId="7" xfId="0" applyFont="1" applyFill="1" applyBorder="1"/>
    <xf numFmtId="0" fontId="5" fillId="0" borderId="7" xfId="0" applyFont="1" applyBorder="1"/>
    <xf numFmtId="0" fontId="5" fillId="0" borderId="7" xfId="0" applyFont="1" applyBorder="1" applyAlignment="1">
      <alignment horizontal="left"/>
    </xf>
    <xf numFmtId="0" fontId="5" fillId="3" borderId="7" xfId="0" applyFont="1" applyFill="1" applyBorder="1" applyAlignment="1">
      <alignment horizontal="left"/>
    </xf>
    <xf numFmtId="0" fontId="5" fillId="0" borderId="17" xfId="0" applyFont="1" applyBorder="1" applyAlignment="1">
      <alignment horizontal="left"/>
    </xf>
    <xf numFmtId="4" fontId="2" fillId="0" borderId="0" xfId="0" applyNumberFormat="1" applyFont="1"/>
    <xf numFmtId="174" fontId="5" fillId="0" borderId="0" xfId="0" applyNumberFormat="1" applyFont="1"/>
    <xf numFmtId="174" fontId="5" fillId="0" borderId="0" xfId="0" applyNumberFormat="1" applyFont="1" applyAlignment="1">
      <alignment horizontal="center"/>
    </xf>
    <xf numFmtId="0" fontId="5" fillId="0" borderId="0" xfId="0" applyFont="1" applyAlignment="1">
      <alignment horizontal="left"/>
    </xf>
    <xf numFmtId="0" fontId="2" fillId="0" borderId="78" xfId="0" applyFont="1" applyBorder="1"/>
    <xf numFmtId="170" fontId="2" fillId="0" borderId="79" xfId="0" applyNumberFormat="1" applyFont="1" applyBorder="1" applyAlignment="1">
      <alignment horizontal="center"/>
    </xf>
    <xf numFmtId="168" fontId="2" fillId="0" borderId="0" xfId="0" applyNumberFormat="1" applyFont="1"/>
    <xf numFmtId="174" fontId="2" fillId="0" borderId="7" xfId="0" applyNumberFormat="1" applyFont="1" applyBorder="1" applyAlignment="1">
      <alignment horizontal="right"/>
    </xf>
    <xf numFmtId="3" fontId="2" fillId="0" borderId="0" xfId="0" applyNumberFormat="1" applyFont="1"/>
    <xf numFmtId="1" fontId="2" fillId="2" borderId="16" xfId="0" applyNumberFormat="1" applyFont="1" applyFill="1" applyBorder="1" applyAlignment="1">
      <alignment horizontal="center" vertical="center" wrapText="1"/>
    </xf>
    <xf numFmtId="168" fontId="0" fillId="2" borderId="7" xfId="0" applyNumberFormat="1" applyFill="1" applyBorder="1" applyAlignment="1">
      <alignment horizontal="center"/>
    </xf>
    <xf numFmtId="168" fontId="0" fillId="2" borderId="17" xfId="0" applyNumberFormat="1" applyFill="1" applyBorder="1" applyAlignment="1">
      <alignment horizontal="center"/>
    </xf>
    <xf numFmtId="165" fontId="5" fillId="6" borderId="7" xfId="1" applyNumberFormat="1" applyFont="1" applyFill="1" applyBorder="1" applyAlignment="1">
      <alignment horizontal="right" indent="2"/>
    </xf>
    <xf numFmtId="165" fontId="5" fillId="6" borderId="17" xfId="1" applyNumberFormat="1" applyFont="1" applyFill="1" applyBorder="1" applyAlignment="1">
      <alignment horizontal="right" indent="2"/>
    </xf>
    <xf numFmtId="0" fontId="0" fillId="6" borderId="0" xfId="0" applyFill="1"/>
    <xf numFmtId="170" fontId="2" fillId="2" borderId="7" xfId="1" applyNumberFormat="1" applyFont="1" applyFill="1" applyBorder="1" applyAlignment="1">
      <alignment horizontal="center"/>
    </xf>
    <xf numFmtId="165" fontId="0" fillId="0" borderId="0" xfId="1" applyNumberFormat="1" applyFont="1" applyFill="1" applyBorder="1" applyAlignment="1">
      <alignment horizontal="left"/>
    </xf>
    <xf numFmtId="37" fontId="0" fillId="2" borderId="7" xfId="1" applyNumberFormat="1" applyFont="1" applyFill="1" applyBorder="1" applyAlignment="1">
      <alignment horizontal="center"/>
    </xf>
    <xf numFmtId="8" fontId="0" fillId="0" borderId="0" xfId="0" applyNumberFormat="1" applyAlignment="1">
      <alignment horizontal="center"/>
    </xf>
    <xf numFmtId="0" fontId="2" fillId="5" borderId="0" xfId="0" applyFont="1" applyFill="1"/>
    <xf numFmtId="0" fontId="0" fillId="5" borderId="0" xfId="0" applyFill="1"/>
    <xf numFmtId="0" fontId="2" fillId="5" borderId="44" xfId="0" applyFont="1" applyFill="1" applyBorder="1" applyAlignment="1">
      <alignment horizontal="center"/>
    </xf>
    <xf numFmtId="0" fontId="2" fillId="5" borderId="45" xfId="0" applyFont="1" applyFill="1" applyBorder="1" applyAlignment="1">
      <alignment horizontal="center"/>
    </xf>
    <xf numFmtId="0" fontId="2" fillId="5" borderId="46" xfId="0" applyFont="1" applyFill="1" applyBorder="1" applyAlignment="1">
      <alignment horizontal="center"/>
    </xf>
    <xf numFmtId="0" fontId="2" fillId="4" borderId="44" xfId="0" applyFont="1" applyFill="1" applyBorder="1" applyAlignment="1">
      <alignment horizontal="center"/>
    </xf>
    <xf numFmtId="0" fontId="2" fillId="4" borderId="45" xfId="0" applyFont="1" applyFill="1" applyBorder="1" applyAlignment="1">
      <alignment horizontal="center"/>
    </xf>
    <xf numFmtId="0" fontId="2" fillId="4" borderId="46" xfId="0" applyFont="1"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0" fillId="10" borderId="0" xfId="0" applyFill="1" applyAlignment="1">
      <alignment horizontal="left"/>
    </xf>
    <xf numFmtId="0" fontId="0" fillId="0" borderId="0" xfId="0"/>
    <xf numFmtId="0" fontId="0" fillId="5" borderId="0" xfId="0" applyFill="1" applyAlignment="1">
      <alignment horizontal="left"/>
    </xf>
    <xf numFmtId="0" fontId="0" fillId="2" borderId="0" xfId="0" applyFill="1" applyAlignment="1">
      <alignment horizontal="left"/>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4" borderId="11" xfId="0" applyFont="1" applyFill="1" applyBorder="1" applyAlignment="1">
      <alignment horizontal="center" vertical="center"/>
    </xf>
    <xf numFmtId="0" fontId="2" fillId="4" borderId="13" xfId="0" applyFont="1" applyFill="1" applyBorder="1" applyAlignment="1">
      <alignment horizontal="center" vertical="center"/>
    </xf>
    <xf numFmtId="0" fontId="2" fillId="0" borderId="12"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3" xfId="0" applyFont="1" applyFill="1" applyBorder="1" applyAlignment="1">
      <alignment horizontal="center" vertical="center"/>
    </xf>
    <xf numFmtId="0" fontId="5" fillId="0" borderId="48" xfId="0" applyFont="1" applyBorder="1" applyAlignment="1">
      <alignment horizontal="left" indent="3"/>
    </xf>
    <xf numFmtId="0" fontId="0" fillId="0" borderId="0" xfId="0" applyAlignment="1">
      <alignment horizontal="left" indent="3"/>
    </xf>
    <xf numFmtId="0" fontId="5" fillId="0" borderId="21" xfId="0" applyFont="1" applyBorder="1" applyAlignment="1">
      <alignment horizontal="left" indent="3"/>
    </xf>
    <xf numFmtId="0" fontId="0" fillId="0" borderId="6" xfId="0" applyBorder="1" applyAlignment="1">
      <alignment horizontal="left" indent="3"/>
    </xf>
    <xf numFmtId="0" fontId="15" fillId="0" borderId="18" xfId="0" applyFont="1" applyBorder="1" applyAlignment="1">
      <alignment horizontal="center"/>
    </xf>
    <xf numFmtId="0" fontId="0" fillId="0" borderId="19" xfId="0" applyBorder="1" applyAlignment="1">
      <alignment horizontal="center"/>
    </xf>
    <xf numFmtId="0" fontId="5" fillId="0" borderId="0" xfId="0" applyFont="1" applyAlignment="1">
      <alignment horizontal="left" indent="3"/>
    </xf>
    <xf numFmtId="0" fontId="0" fillId="0" borderId="0" xfId="0" applyAlignment="1">
      <alignment horizontal="left"/>
    </xf>
    <xf numFmtId="0" fontId="14" fillId="0" borderId="19"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3" fontId="2" fillId="0" borderId="5" xfId="0" applyNumberFormat="1" applyFont="1" applyBorder="1" applyAlignment="1">
      <alignment horizontal="left" indent="5"/>
    </xf>
    <xf numFmtId="0" fontId="2" fillId="0" borderId="0" xfId="0" applyFont="1" applyAlignment="1">
      <alignment horizontal="left" indent="5"/>
    </xf>
    <xf numFmtId="165" fontId="14" fillId="0" borderId="19" xfId="0" applyNumberFormat="1" applyFont="1" applyBorder="1" applyAlignment="1">
      <alignment horizontal="left"/>
    </xf>
    <xf numFmtId="0" fontId="0" fillId="0" borderId="20" xfId="0" applyBorder="1"/>
    <xf numFmtId="0" fontId="2" fillId="0" borderId="5" xfId="0" applyFont="1" applyBorder="1" applyAlignment="1">
      <alignment horizontal="left" indent="5"/>
    </xf>
    <xf numFmtId="0" fontId="0" fillId="0" borderId="19" xfId="0" applyBorder="1"/>
    <xf numFmtId="0" fontId="5" fillId="0" borderId="6" xfId="0" applyFont="1" applyBorder="1" applyAlignment="1">
      <alignment horizontal="left" indent="3"/>
    </xf>
    <xf numFmtId="0" fontId="0" fillId="0" borderId="6" xfId="0" applyBorder="1" applyAlignment="1">
      <alignment horizontal="left"/>
    </xf>
    <xf numFmtId="0" fontId="2" fillId="5" borderId="11" xfId="0" applyFont="1" applyFill="1" applyBorder="1" applyAlignment="1">
      <alignment horizontal="center"/>
    </xf>
    <xf numFmtId="0" fontId="2" fillId="5" borderId="12" xfId="0" applyFont="1" applyFill="1" applyBorder="1" applyAlignment="1">
      <alignment horizontal="center"/>
    </xf>
    <xf numFmtId="0" fontId="2" fillId="5" borderId="13" xfId="0" applyFont="1" applyFill="1" applyBorder="1" applyAlignment="1">
      <alignment horizontal="center"/>
    </xf>
    <xf numFmtId="0" fontId="2" fillId="4" borderId="18" xfId="0" applyFont="1" applyFill="1" applyBorder="1" applyAlignment="1">
      <alignment horizontal="center"/>
    </xf>
    <xf numFmtId="0" fontId="0" fillId="4" borderId="19" xfId="0" applyFill="1" applyBorder="1" applyAlignment="1">
      <alignment horizontal="center"/>
    </xf>
    <xf numFmtId="0" fontId="0" fillId="4" borderId="20" xfId="0" applyFill="1" applyBorder="1" applyAlignment="1">
      <alignment horizontal="center"/>
    </xf>
    <xf numFmtId="0" fontId="2" fillId="4" borderId="11" xfId="0" applyFont="1" applyFill="1" applyBorder="1" applyAlignment="1">
      <alignment horizontal="center"/>
    </xf>
    <xf numFmtId="0" fontId="0" fillId="0" borderId="12" xfId="0" applyBorder="1"/>
    <xf numFmtId="0" fontId="0" fillId="0" borderId="13" xfId="0" applyBorder="1"/>
    <xf numFmtId="0" fontId="2" fillId="0" borderId="37" xfId="0" applyFont="1" applyBorder="1" applyAlignment="1">
      <alignment horizontal="center"/>
    </xf>
    <xf numFmtId="0" fontId="2" fillId="0" borderId="52" xfId="0" applyFont="1" applyBorder="1" applyAlignment="1">
      <alignment horizontal="center"/>
    </xf>
    <xf numFmtId="0" fontId="2" fillId="0" borderId="38" xfId="0" applyFont="1" applyBorder="1" applyAlignment="1">
      <alignment horizontal="center"/>
    </xf>
    <xf numFmtId="3" fontId="2" fillId="0" borderId="6" xfId="0" applyNumberFormat="1" applyFont="1" applyBorder="1" applyAlignment="1">
      <alignment horizontal="left" indent="5"/>
    </xf>
    <xf numFmtId="0" fontId="2" fillId="0" borderId="22" xfId="0" applyFont="1" applyBorder="1" applyAlignment="1">
      <alignment horizontal="left" indent="5"/>
    </xf>
    <xf numFmtId="0" fontId="2" fillId="0" borderId="6" xfId="0" applyFont="1" applyBorder="1" applyAlignment="1">
      <alignment horizontal="left" indent="5"/>
    </xf>
    <xf numFmtId="0" fontId="15" fillId="0" borderId="19"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3" fontId="5" fillId="0" borderId="5" xfId="0" applyNumberFormat="1" applyFont="1" applyBorder="1" applyAlignment="1">
      <alignment horizontal="left" indent="5"/>
    </xf>
    <xf numFmtId="0" fontId="5" fillId="0" borderId="0" xfId="0" applyFont="1" applyAlignment="1">
      <alignment horizontal="left" indent="5"/>
    </xf>
    <xf numFmtId="165" fontId="15" fillId="0" borderId="19" xfId="0" applyNumberFormat="1" applyFont="1" applyBorder="1" applyAlignment="1">
      <alignment horizontal="left"/>
    </xf>
    <xf numFmtId="0" fontId="5" fillId="0" borderId="5" xfId="0" applyFont="1" applyBorder="1" applyAlignment="1">
      <alignment horizontal="left" indent="5"/>
    </xf>
    <xf numFmtId="0" fontId="5" fillId="5" borderId="11" xfId="0" applyFont="1" applyFill="1" applyBorder="1" applyAlignment="1">
      <alignment horizontal="center"/>
    </xf>
    <xf numFmtId="0" fontId="5" fillId="5" borderId="12" xfId="0" applyFont="1" applyFill="1" applyBorder="1" applyAlignment="1">
      <alignment horizontal="center"/>
    </xf>
    <xf numFmtId="0" fontId="5" fillId="5" borderId="13" xfId="0" applyFont="1" applyFill="1" applyBorder="1" applyAlignment="1">
      <alignment horizontal="center"/>
    </xf>
    <xf numFmtId="0" fontId="5" fillId="4" borderId="18" xfId="0" applyFont="1" applyFill="1" applyBorder="1" applyAlignment="1">
      <alignment horizontal="center"/>
    </xf>
    <xf numFmtId="0" fontId="5" fillId="4" borderId="11" xfId="0" applyFont="1" applyFill="1" applyBorder="1" applyAlignment="1">
      <alignment horizontal="center"/>
    </xf>
    <xf numFmtId="3" fontId="5" fillId="0" borderId="6" xfId="0" applyNumberFormat="1" applyFont="1" applyBorder="1" applyAlignment="1">
      <alignment horizontal="left" indent="5"/>
    </xf>
    <xf numFmtId="0" fontId="5" fillId="0" borderId="22" xfId="0" applyFont="1" applyBorder="1" applyAlignment="1">
      <alignment horizontal="left" indent="5"/>
    </xf>
    <xf numFmtId="0" fontId="5" fillId="0" borderId="6" xfId="0" applyFont="1" applyBorder="1" applyAlignment="1">
      <alignment horizontal="left" indent="5"/>
    </xf>
    <xf numFmtId="0" fontId="2" fillId="0" borderId="48" xfId="0" applyFont="1" applyBorder="1" applyAlignment="1">
      <alignment horizontal="left" indent="3"/>
    </xf>
    <xf numFmtId="0" fontId="2" fillId="0" borderId="21" xfId="0" applyFont="1" applyBorder="1" applyAlignment="1">
      <alignment horizontal="left" indent="3"/>
    </xf>
    <xf numFmtId="0" fontId="14" fillId="0" borderId="18" xfId="0" applyFont="1" applyBorder="1" applyAlignment="1">
      <alignment horizontal="center"/>
    </xf>
    <xf numFmtId="0" fontId="2" fillId="0" borderId="0" xfId="0" applyFont="1" applyAlignment="1">
      <alignment horizontal="left" indent="3"/>
    </xf>
    <xf numFmtId="0" fontId="2" fillId="0" borderId="6" xfId="0" applyFont="1" applyBorder="1" applyAlignment="1">
      <alignment horizontal="left" indent="3"/>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9" fillId="0" borderId="0" xfId="0" applyFont="1" applyAlignment="1">
      <alignment horizontal="center"/>
    </xf>
    <xf numFmtId="0" fontId="11" fillId="0" borderId="0" xfId="0" applyFont="1"/>
    <xf numFmtId="0" fontId="2" fillId="0" borderId="0" xfId="0" applyFont="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11" xfId="0" applyFont="1" applyBorder="1"/>
    <xf numFmtId="0" fontId="0" fillId="0" borderId="0" xfId="0" applyAlignment="1">
      <alignment horizontal="center"/>
    </xf>
  </cellXfs>
  <cellStyles count="3">
    <cellStyle name="Comma" xfId="1" builtinId="3"/>
    <cellStyle name="Normal" xfId="0" builtinId="0"/>
    <cellStyle name="Percent" xfId="2" builtinId="5"/>
  </cellStyles>
  <dxfs count="2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VanOtteren, Glenn M.(GVO)" id="{5C377B25-E482-438C-9F63-8700CECAC37A}" userId="S::Glenn.Vanotteren@corewellhealth.org::4d53eb27-896c-4413-9da6-d54f9ad5372d"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3" dT="2023-08-27T22:44:33.51" personId="{5C377B25-E482-438C-9F63-8700CECAC37A}" id="{F09B3286-ACD0-BB43-8B8C-9AC7D5107824}">
    <text>This counts the number of boats who have a finish time</text>
  </threadedComment>
  <threadedComment ref="Y3" dT="2023-08-27T22:47:27.95" personId="{5C377B25-E482-438C-9F63-8700CECAC37A}" id="{175CEA0E-EFB3-BB4D-A36F-A6DB022CAB66}">
    <text>Uses actual elapsed time, multiplied by the appropriate time correction factor (Spin vs. No Spin)</text>
  </threadedComment>
  <threadedComment ref="AD3" dT="2023-08-27T22:51:30.35" personId="{5C377B25-E482-438C-9F63-8700CECAC37A}" id="{712A115B-121B-9F47-B3F0-97E4DAB58677}">
    <text>Based upon corrected time based upon time on time scoring.</text>
  </threadedComment>
</ThreadedComments>
</file>

<file path=xl/threadedComments/threadedComment10.xml><?xml version="1.0" encoding="utf-8"?>
<ThreadedComments xmlns="http://schemas.microsoft.com/office/spreadsheetml/2018/threadedcomments" xmlns:x="http://schemas.openxmlformats.org/spreadsheetml/2006/main">
  <threadedComment ref="O3" dT="2023-08-27T22:44:33.51" personId="{5C377B25-E482-438C-9F63-8700CECAC37A}" id="{E082E513-69F9-BE4E-9F5E-409869AF7F25}">
    <text>This counts the number of boats who have a finish time</text>
  </threadedComment>
  <threadedComment ref="Y3" dT="2023-08-27T22:47:27.95" personId="{5C377B25-E482-438C-9F63-8700CECAC37A}" id="{08409660-3D81-564E-AF04-C53A9CA05016}">
    <text>Uses actual elapsed time, multiplied by the appropriate time correction factor (Spin vs. No Spin)</text>
  </threadedComment>
  <threadedComment ref="AD3" dT="2023-08-27T22:51:30.35" personId="{5C377B25-E482-438C-9F63-8700CECAC37A}" id="{1300E993-3C1B-9248-A003-296F608A9F3E}">
    <text>Based upon corrected time based upon time on time scoring.</text>
  </threadedComment>
</ThreadedComments>
</file>

<file path=xl/threadedComments/threadedComment11.xml><?xml version="1.0" encoding="utf-8"?>
<ThreadedComments xmlns="http://schemas.microsoft.com/office/spreadsheetml/2018/threadedcomments" xmlns:x="http://schemas.openxmlformats.org/spreadsheetml/2006/main">
  <threadedComment ref="O3" dT="2023-08-27T22:44:33.51" personId="{5C377B25-E482-438C-9F63-8700CECAC37A}" id="{E4084B25-3A9A-4049-83BA-256FC08A9958}">
    <text>This counts the number of boats who have a finish time</text>
  </threadedComment>
  <threadedComment ref="Y3" dT="2023-08-27T22:47:27.95" personId="{5C377B25-E482-438C-9F63-8700CECAC37A}" id="{A65CA705-EB3E-7E4A-874A-D3ABD4460958}">
    <text>Uses actual elapsed time, multiplied by the appropriate time correction factor (Spin vs. No Spin)</text>
  </threadedComment>
  <threadedComment ref="AD3" dT="2023-08-27T22:51:30.35" personId="{5C377B25-E482-438C-9F63-8700CECAC37A}" id="{EDD34997-FEFB-9049-A89C-1FD6163A1230}">
    <text>Based upon corrected time based upon time on time scoring.</text>
  </threadedComment>
</ThreadedComments>
</file>

<file path=xl/threadedComments/threadedComment2.xml><?xml version="1.0" encoding="utf-8"?>
<ThreadedComments xmlns="http://schemas.microsoft.com/office/spreadsheetml/2018/threadedcomments" xmlns:x="http://schemas.openxmlformats.org/spreadsheetml/2006/main">
  <threadedComment ref="O3" dT="2023-08-27T22:44:33.51" personId="{5C377B25-E482-438C-9F63-8700CECAC37A}" id="{3E260D07-8AB8-E043-AFE5-64990A9D53B9}">
    <text>This counts the number of boats who have a finish time</text>
  </threadedComment>
  <threadedComment ref="Y3" dT="2023-08-27T22:47:27.95" personId="{5C377B25-E482-438C-9F63-8700CECAC37A}" id="{F2C698E6-3D9F-B84D-942D-8051CF1BD164}">
    <text>Uses actual elapsed time, multiplied by the appropriate time correction factor (Spin vs. No Spin)</text>
  </threadedComment>
  <threadedComment ref="AD3" dT="2023-08-27T22:51:30.35" personId="{5C377B25-E482-438C-9F63-8700CECAC37A}" id="{761A51C3-223E-024A-A1A8-100001FE03A4}">
    <text>Based upon corrected time based upon time on time scoring.</text>
  </threadedComment>
</ThreadedComments>
</file>

<file path=xl/threadedComments/threadedComment3.xml><?xml version="1.0" encoding="utf-8"?>
<ThreadedComments xmlns="http://schemas.microsoft.com/office/spreadsheetml/2018/threadedcomments" xmlns:x="http://schemas.openxmlformats.org/spreadsheetml/2006/main">
  <threadedComment ref="O3" dT="2023-08-27T22:44:33.51" personId="{5C377B25-E482-438C-9F63-8700CECAC37A}" id="{893FBF5F-A98C-9E4B-A64B-FED2F857ABDD}">
    <text>This counts the number of boats who have a finish time</text>
  </threadedComment>
  <threadedComment ref="Y3" dT="2023-08-27T22:47:27.95" personId="{5C377B25-E482-438C-9F63-8700CECAC37A}" id="{38B399E8-7D49-D443-8293-C5D6590FBAA0}">
    <text>Uses actual elapsed time, multiplied by the appropriate time correction factor (Spin vs. No Spin)</text>
  </threadedComment>
  <threadedComment ref="AD3" dT="2023-08-27T22:51:30.35" personId="{5C377B25-E482-438C-9F63-8700CECAC37A}" id="{6EB2A91D-C78C-1F4F-90E9-9B43E88C1661}">
    <text>Based upon corrected time based upon time on time scoring.</text>
  </threadedComment>
</ThreadedComments>
</file>

<file path=xl/threadedComments/threadedComment4.xml><?xml version="1.0" encoding="utf-8"?>
<ThreadedComments xmlns="http://schemas.microsoft.com/office/spreadsheetml/2018/threadedcomments" xmlns:x="http://schemas.openxmlformats.org/spreadsheetml/2006/main">
  <threadedComment ref="O3" dT="2023-08-27T22:44:33.51" personId="{5C377B25-E482-438C-9F63-8700CECAC37A}" id="{5762C41C-C89B-A944-871E-770FA5010E28}">
    <text>This counts the number of boats who have a finish time</text>
  </threadedComment>
  <threadedComment ref="Y3" dT="2023-08-27T22:47:27.95" personId="{5C377B25-E482-438C-9F63-8700CECAC37A}" id="{FA6D60C6-6547-7F47-857F-C847EBB4D91D}">
    <text>Uses actual elapsed time, multiplied by the appropriate time correction factor (Spin vs. No Spin)</text>
  </threadedComment>
  <threadedComment ref="AD3" dT="2023-08-27T22:51:30.35" personId="{5C377B25-E482-438C-9F63-8700CECAC37A}" id="{B448A7E7-491E-634D-BE71-9533003B5A75}">
    <text>Based upon corrected time based upon time on time scoring.</text>
  </threadedComment>
</ThreadedComments>
</file>

<file path=xl/threadedComments/threadedComment5.xml><?xml version="1.0" encoding="utf-8"?>
<ThreadedComments xmlns="http://schemas.microsoft.com/office/spreadsheetml/2018/threadedcomments" xmlns:x="http://schemas.openxmlformats.org/spreadsheetml/2006/main">
  <threadedComment ref="O3" dT="2023-08-27T22:44:33.51" personId="{5C377B25-E482-438C-9F63-8700CECAC37A}" id="{BD50151A-2892-ED42-BCAF-0D1DB3A3148D}">
    <text>This counts the number of boats who have a finish time</text>
  </threadedComment>
  <threadedComment ref="Y3" dT="2023-08-27T22:47:27.95" personId="{5C377B25-E482-438C-9F63-8700CECAC37A}" id="{AAD699B5-F56B-5E40-88BB-811787D8D220}">
    <text>Uses actual elapsed time, multiplied by the appropriate time correction factor (Spin vs. No Spin)</text>
  </threadedComment>
  <threadedComment ref="AD3" dT="2023-08-27T22:51:30.35" personId="{5C377B25-E482-438C-9F63-8700CECAC37A}" id="{2EDBF92A-38CF-E844-B381-B316530AC68C}">
    <text>Based upon corrected time based upon time on time scoring.</text>
  </threadedComment>
</ThreadedComments>
</file>

<file path=xl/threadedComments/threadedComment6.xml><?xml version="1.0" encoding="utf-8"?>
<ThreadedComments xmlns="http://schemas.microsoft.com/office/spreadsheetml/2018/threadedcomments" xmlns:x="http://schemas.openxmlformats.org/spreadsheetml/2006/main">
  <threadedComment ref="O3" dT="2023-08-27T22:44:33.51" personId="{5C377B25-E482-438C-9F63-8700CECAC37A}" id="{7F1A8DF7-4723-5849-A021-2BD19B9D6BEA}">
    <text>This counts the number of boats who have a finish time</text>
  </threadedComment>
  <threadedComment ref="Y3" dT="2023-08-27T22:47:27.95" personId="{5C377B25-E482-438C-9F63-8700CECAC37A}" id="{E368BD48-FAA4-A649-A451-57DA41C367CF}">
    <text>Uses actual elapsed time, multiplied by the appropriate time correction factor (Spin vs. No Spin)</text>
  </threadedComment>
  <threadedComment ref="AD3" dT="2023-08-27T22:51:30.35" personId="{5C377B25-E482-438C-9F63-8700CECAC37A}" id="{D0C1AEF8-5CF9-2044-BBAE-3358279E6B0E}">
    <text>Based upon corrected time based upon time on time scoring.</text>
  </threadedComment>
</ThreadedComments>
</file>

<file path=xl/threadedComments/threadedComment7.xml><?xml version="1.0" encoding="utf-8"?>
<ThreadedComments xmlns="http://schemas.microsoft.com/office/spreadsheetml/2018/threadedcomments" xmlns:x="http://schemas.openxmlformats.org/spreadsheetml/2006/main">
  <threadedComment ref="O3" dT="2023-08-27T22:44:33.51" personId="{5C377B25-E482-438C-9F63-8700CECAC37A}" id="{FC09185B-C8F6-A241-B513-90B4D0B8A769}">
    <text>This counts the number of boats who have a finish time</text>
  </threadedComment>
  <threadedComment ref="Y3" dT="2023-08-27T22:47:27.95" personId="{5C377B25-E482-438C-9F63-8700CECAC37A}" id="{3CD5D9AF-48C3-AF4E-9667-0BF5193980B3}">
    <text>Uses actual elapsed time, multiplied by the appropriate time correction factor (Spin vs. No Spin)</text>
  </threadedComment>
  <threadedComment ref="AD3" dT="2023-08-27T22:51:30.35" personId="{5C377B25-E482-438C-9F63-8700CECAC37A}" id="{7A349025-A46F-2F46-92E5-30E182780F98}">
    <text>Based upon corrected time based upon time on time scoring.</text>
  </threadedComment>
</ThreadedComments>
</file>

<file path=xl/threadedComments/threadedComment8.xml><?xml version="1.0" encoding="utf-8"?>
<ThreadedComments xmlns="http://schemas.microsoft.com/office/spreadsheetml/2018/threadedcomments" xmlns:x="http://schemas.openxmlformats.org/spreadsheetml/2006/main">
  <threadedComment ref="O3" dT="2023-08-27T22:44:33.51" personId="{5C377B25-E482-438C-9F63-8700CECAC37A}" id="{34F32D4F-1810-9C4F-8278-AE52BD327EB5}">
    <text>This counts the number of boats who have a finish time</text>
  </threadedComment>
  <threadedComment ref="Y3" dT="2023-08-27T22:47:27.95" personId="{5C377B25-E482-438C-9F63-8700CECAC37A}" id="{D51A8E90-2DB3-D247-8FE0-D58BBAAFD348}">
    <text>Uses actual elapsed time, multiplied by the appropriate time correction factor (Spin vs. No Spin)</text>
  </threadedComment>
  <threadedComment ref="AD3" dT="2023-08-27T22:51:30.35" personId="{5C377B25-E482-438C-9F63-8700CECAC37A}" id="{23818F28-53BA-C34A-9A7D-D9E696C9F55B}">
    <text>Based upon corrected time based upon time on time scoring.</text>
  </threadedComment>
</ThreadedComments>
</file>

<file path=xl/threadedComments/threadedComment9.xml><?xml version="1.0" encoding="utf-8"?>
<ThreadedComments xmlns="http://schemas.microsoft.com/office/spreadsheetml/2018/threadedcomments" xmlns:x="http://schemas.openxmlformats.org/spreadsheetml/2006/main">
  <threadedComment ref="O3" dT="2023-08-27T22:44:33.51" personId="{5C377B25-E482-438C-9F63-8700CECAC37A}" id="{48142509-ECFE-D34C-AD4B-2B2FEB30A3A7}">
    <text>This counts the number of boats who have a finish time</text>
  </threadedComment>
  <threadedComment ref="Y3" dT="2023-08-27T22:47:27.95" personId="{5C377B25-E482-438C-9F63-8700CECAC37A}" id="{B54FA381-015B-3346-B8F0-33A37A6C14A0}">
    <text>Uses actual elapsed time, multiplied by the appropriate time correction factor (Spin vs. No Spin)</text>
  </threadedComment>
  <threadedComment ref="AD3" dT="2023-08-27T22:51:30.35" personId="{5C377B25-E482-438C-9F63-8700CECAC37A}" id="{3CE772F8-00F4-024C-8DBE-533865E52CC3}">
    <text>Based upon corrected time based upon time on time scoring.</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microsoft.com/office/2017/10/relationships/threadedComment" Target="../threadedComments/threadedComment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FDFE2-03BA-4092-94DE-C56B8996D4A7}">
  <sheetPr>
    <pageSetUpPr fitToPage="1"/>
  </sheetPr>
  <dimension ref="B1:P28"/>
  <sheetViews>
    <sheetView topLeftCell="A3" zoomScaleNormal="100" workbookViewId="0">
      <selection activeCell="C7" sqref="C7"/>
    </sheetView>
  </sheetViews>
  <sheetFormatPr baseColWidth="10" defaultColWidth="8.83203125" defaultRowHeight="15" x14ac:dyDescent="0.2"/>
  <cols>
    <col min="3" max="3" width="16.33203125" customWidth="1"/>
    <col min="4" max="4" width="20" customWidth="1"/>
    <col min="5" max="5" width="27.5" customWidth="1"/>
    <col min="6" max="6" width="17.83203125" bestFit="1" customWidth="1"/>
    <col min="7" max="8" width="10.83203125" customWidth="1"/>
    <col min="9" max="9" width="3.6640625" customWidth="1"/>
    <col min="10" max="15" width="10.83203125" customWidth="1"/>
  </cols>
  <sheetData>
    <row r="1" spans="2:15" ht="16" thickBot="1" x14ac:dyDescent="0.25"/>
    <row r="2" spans="2:15" ht="16" thickBot="1" x14ac:dyDescent="0.25">
      <c r="B2" s="47" t="s">
        <v>97</v>
      </c>
      <c r="G2" s="467" t="s">
        <v>1</v>
      </c>
      <c r="H2" s="468"/>
      <c r="J2" s="474" t="s">
        <v>0</v>
      </c>
      <c r="K2" s="475"/>
      <c r="L2" s="475"/>
      <c r="M2" s="475"/>
      <c r="N2" s="475"/>
      <c r="O2" s="476"/>
    </row>
    <row r="3" spans="2:15" ht="35.25" customHeight="1" thickBot="1" x14ac:dyDescent="0.25">
      <c r="G3" s="465" t="s">
        <v>98</v>
      </c>
      <c r="H3" s="466"/>
      <c r="J3" s="463" t="s">
        <v>340</v>
      </c>
      <c r="K3" s="464"/>
      <c r="L3" s="463" t="s">
        <v>99</v>
      </c>
      <c r="M3" s="469"/>
      <c r="N3" s="470"/>
      <c r="O3" s="471"/>
    </row>
    <row r="4" spans="2:15" ht="63.75" customHeight="1" thickBot="1" x14ac:dyDescent="0.25">
      <c r="G4" s="298" t="s">
        <v>277</v>
      </c>
      <c r="H4" s="299" t="s">
        <v>278</v>
      </c>
      <c r="J4" s="298" t="s">
        <v>100</v>
      </c>
      <c r="K4" s="299" t="s">
        <v>101</v>
      </c>
      <c r="L4" s="472" t="s">
        <v>100</v>
      </c>
      <c r="M4" s="473"/>
      <c r="N4" s="472" t="s">
        <v>101</v>
      </c>
      <c r="O4" s="473"/>
    </row>
    <row r="5" spans="2:15" ht="61.5" customHeight="1" thickBot="1" x14ac:dyDescent="0.25">
      <c r="C5" s="127" t="s">
        <v>102</v>
      </c>
      <c r="D5" s="127" t="s">
        <v>10</v>
      </c>
      <c r="E5" s="197" t="s">
        <v>11</v>
      </c>
      <c r="F5" s="127" t="s">
        <v>284</v>
      </c>
      <c r="G5" s="127" t="s">
        <v>280</v>
      </c>
      <c r="H5" s="197" t="s">
        <v>276</v>
      </c>
      <c r="I5" s="299"/>
      <c r="J5" s="122"/>
      <c r="K5" s="123"/>
      <c r="L5" s="188" t="s">
        <v>274</v>
      </c>
      <c r="M5" s="300" t="s">
        <v>275</v>
      </c>
      <c r="N5" s="196" t="s">
        <v>274</v>
      </c>
      <c r="O5" s="122" t="s">
        <v>275</v>
      </c>
    </row>
    <row r="6" spans="2:15" ht="30" customHeight="1" x14ac:dyDescent="0.2">
      <c r="C6" s="128" t="s">
        <v>394</v>
      </c>
      <c r="D6" s="129" t="s">
        <v>391</v>
      </c>
      <c r="E6" s="198" t="s">
        <v>58</v>
      </c>
      <c r="F6" s="205" t="s">
        <v>57</v>
      </c>
      <c r="G6" s="247">
        <v>90</v>
      </c>
      <c r="H6" s="248">
        <v>110</v>
      </c>
      <c r="I6" s="297"/>
      <c r="J6" s="208">
        <v>90</v>
      </c>
      <c r="K6" s="209">
        <v>110</v>
      </c>
      <c r="L6" s="142">
        <f>G6*(1+$F$24)</f>
        <v>76.5</v>
      </c>
      <c r="M6" s="136">
        <f t="shared" ref="M6:M18" si="0">G6*(1+$F$23)</f>
        <v>108</v>
      </c>
      <c r="N6" s="136">
        <f t="shared" ref="N6:N18" si="1">H6*(1+$F$24)</f>
        <v>93.5</v>
      </c>
      <c r="O6" s="137">
        <f t="shared" ref="O6:O18" si="2">H6*(1+$F$23)</f>
        <v>132</v>
      </c>
    </row>
    <row r="7" spans="2:15" ht="30" customHeight="1" x14ac:dyDescent="0.2">
      <c r="C7" s="130" t="s">
        <v>302</v>
      </c>
      <c r="D7" s="131" t="s">
        <v>306</v>
      </c>
      <c r="E7" s="199" t="s">
        <v>337</v>
      </c>
      <c r="F7" s="206" t="s">
        <v>308</v>
      </c>
      <c r="G7" s="245">
        <v>87</v>
      </c>
      <c r="H7" s="246">
        <v>110</v>
      </c>
      <c r="I7" s="297"/>
      <c r="J7" s="210">
        <v>78</v>
      </c>
      <c r="K7" s="211">
        <v>96.5</v>
      </c>
      <c r="L7" s="143">
        <f>G7*(1+$F$24)</f>
        <v>73.95</v>
      </c>
      <c r="M7" s="138">
        <f t="shared" si="0"/>
        <v>104.39999999999999</v>
      </c>
      <c r="N7" s="138">
        <f t="shared" si="1"/>
        <v>93.5</v>
      </c>
      <c r="O7" s="139">
        <f t="shared" si="2"/>
        <v>132</v>
      </c>
    </row>
    <row r="8" spans="2:15" ht="30" customHeight="1" x14ac:dyDescent="0.2">
      <c r="C8" s="130" t="s">
        <v>289</v>
      </c>
      <c r="D8" s="131" t="s">
        <v>288</v>
      </c>
      <c r="E8" s="199" t="s">
        <v>60</v>
      </c>
      <c r="F8" s="206" t="s">
        <v>59</v>
      </c>
      <c r="G8" s="245">
        <v>205</v>
      </c>
      <c r="H8" s="246">
        <v>208</v>
      </c>
      <c r="I8" s="297"/>
      <c r="J8" s="210">
        <v>195</v>
      </c>
      <c r="K8" s="211">
        <v>210</v>
      </c>
      <c r="L8" s="143">
        <f t="shared" ref="L8:L16" si="3">G8*(1+$F$24)</f>
        <v>174.25</v>
      </c>
      <c r="M8" s="138">
        <f t="shared" si="0"/>
        <v>246</v>
      </c>
      <c r="N8" s="138">
        <f t="shared" si="1"/>
        <v>176.79999999999998</v>
      </c>
      <c r="O8" s="139">
        <f t="shared" si="2"/>
        <v>249.6</v>
      </c>
    </row>
    <row r="9" spans="2:15" ht="30" customHeight="1" x14ac:dyDescent="0.2">
      <c r="C9" s="132" t="s">
        <v>62</v>
      </c>
      <c r="D9" s="133" t="s">
        <v>63</v>
      </c>
      <c r="E9" s="200" t="s">
        <v>64</v>
      </c>
      <c r="F9" s="207" t="s">
        <v>61</v>
      </c>
      <c r="G9" s="245">
        <v>157</v>
      </c>
      <c r="H9" s="246">
        <v>169</v>
      </c>
      <c r="I9" s="297"/>
      <c r="J9" s="212">
        <v>175.1</v>
      </c>
      <c r="K9" s="213">
        <v>188.1227776756605</v>
      </c>
      <c r="L9" s="144">
        <f t="shared" si="3"/>
        <v>133.44999999999999</v>
      </c>
      <c r="M9" s="140">
        <f t="shared" si="0"/>
        <v>188.4</v>
      </c>
      <c r="N9" s="140">
        <f t="shared" si="1"/>
        <v>143.65</v>
      </c>
      <c r="O9" s="141">
        <f t="shared" si="2"/>
        <v>202.79999999999998</v>
      </c>
    </row>
    <row r="10" spans="2:15" ht="30" customHeight="1" x14ac:dyDescent="0.2">
      <c r="C10" s="130" t="s">
        <v>66</v>
      </c>
      <c r="D10" s="131" t="s">
        <v>67</v>
      </c>
      <c r="E10" s="199" t="s">
        <v>68</v>
      </c>
      <c r="F10" s="206" t="s">
        <v>65</v>
      </c>
      <c r="G10" s="214">
        <v>165</v>
      </c>
      <c r="H10" s="215">
        <v>177</v>
      </c>
      <c r="I10" s="297"/>
      <c r="J10" s="210">
        <v>198</v>
      </c>
      <c r="K10" s="211">
        <v>205.37762972886682</v>
      </c>
      <c r="L10" s="143">
        <f t="shared" si="3"/>
        <v>140.25</v>
      </c>
      <c r="M10" s="138">
        <f t="shared" si="0"/>
        <v>198</v>
      </c>
      <c r="N10" s="138">
        <f t="shared" si="1"/>
        <v>150.44999999999999</v>
      </c>
      <c r="O10" s="139">
        <f t="shared" si="2"/>
        <v>212.4</v>
      </c>
    </row>
    <row r="11" spans="2:15" ht="30" customHeight="1" x14ac:dyDescent="0.2">
      <c r="C11" s="132" t="s">
        <v>300</v>
      </c>
      <c r="D11" s="133" t="s">
        <v>70</v>
      </c>
      <c r="E11" s="200" t="s">
        <v>71</v>
      </c>
      <c r="F11" s="207" t="s">
        <v>69</v>
      </c>
      <c r="G11" s="245">
        <f>H11-9</f>
        <v>154</v>
      </c>
      <c r="H11" s="246">
        <v>163</v>
      </c>
      <c r="I11" s="297"/>
      <c r="J11" s="212">
        <v>179.3</v>
      </c>
      <c r="K11" s="213">
        <v>189.37685101517241</v>
      </c>
      <c r="L11" s="144">
        <f t="shared" si="3"/>
        <v>130.9</v>
      </c>
      <c r="M11" s="140">
        <f t="shared" si="0"/>
        <v>184.79999999999998</v>
      </c>
      <c r="N11" s="140">
        <f t="shared" si="1"/>
        <v>138.54999999999998</v>
      </c>
      <c r="O11" s="141">
        <f t="shared" si="2"/>
        <v>195.6</v>
      </c>
    </row>
    <row r="12" spans="2:15" ht="30" customHeight="1" x14ac:dyDescent="0.2">
      <c r="C12" s="130" t="s">
        <v>304</v>
      </c>
      <c r="D12" s="131" t="s">
        <v>305</v>
      </c>
      <c r="E12" s="199" t="s">
        <v>303</v>
      </c>
      <c r="F12" s="290" t="s">
        <v>307</v>
      </c>
      <c r="G12" s="245">
        <v>204</v>
      </c>
      <c r="H12" s="246">
        <v>204</v>
      </c>
      <c r="I12" s="297"/>
      <c r="J12" s="210">
        <v>204</v>
      </c>
      <c r="K12" s="211">
        <v>204</v>
      </c>
      <c r="L12" s="143">
        <f t="shared" si="3"/>
        <v>173.4</v>
      </c>
      <c r="M12" s="138">
        <f t="shared" si="0"/>
        <v>244.79999999999998</v>
      </c>
      <c r="N12" s="138">
        <f t="shared" si="1"/>
        <v>173.4</v>
      </c>
      <c r="O12" s="139">
        <f t="shared" si="2"/>
        <v>244.79999999999998</v>
      </c>
    </row>
    <row r="13" spans="2:15" ht="30" customHeight="1" x14ac:dyDescent="0.2">
      <c r="C13" s="132" t="s">
        <v>73</v>
      </c>
      <c r="D13" s="133" t="s">
        <v>74</v>
      </c>
      <c r="E13" s="200" t="s">
        <v>75</v>
      </c>
      <c r="F13" s="207" t="s">
        <v>72</v>
      </c>
      <c r="G13" s="214">
        <v>204</v>
      </c>
      <c r="H13" s="215">
        <v>216</v>
      </c>
      <c r="I13" s="297"/>
      <c r="J13" s="212">
        <v>233.5</v>
      </c>
      <c r="K13" s="213">
        <v>244.63132491716539</v>
      </c>
      <c r="L13" s="144">
        <f t="shared" si="3"/>
        <v>173.4</v>
      </c>
      <c r="M13" s="140">
        <f t="shared" si="0"/>
        <v>244.79999999999998</v>
      </c>
      <c r="N13" s="140">
        <f t="shared" si="1"/>
        <v>183.6</v>
      </c>
      <c r="O13" s="141">
        <f t="shared" si="2"/>
        <v>259.2</v>
      </c>
    </row>
    <row r="14" spans="2:15" ht="30" customHeight="1" x14ac:dyDescent="0.2">
      <c r="C14" s="130" t="s">
        <v>77</v>
      </c>
      <c r="D14" s="131" t="s">
        <v>78</v>
      </c>
      <c r="E14" s="199" t="s">
        <v>79</v>
      </c>
      <c r="F14" s="206" t="s">
        <v>76</v>
      </c>
      <c r="G14" s="245">
        <v>254</v>
      </c>
      <c r="H14" s="246">
        <v>261</v>
      </c>
      <c r="I14" s="297"/>
      <c r="J14" s="210">
        <v>252.6</v>
      </c>
      <c r="K14" s="211">
        <v>255.17561647534984</v>
      </c>
      <c r="L14" s="143">
        <f t="shared" si="3"/>
        <v>215.9</v>
      </c>
      <c r="M14" s="138">
        <f t="shared" si="0"/>
        <v>304.8</v>
      </c>
      <c r="N14" s="138">
        <f t="shared" si="1"/>
        <v>221.85</v>
      </c>
      <c r="O14" s="139">
        <f t="shared" si="2"/>
        <v>313.2</v>
      </c>
    </row>
    <row r="15" spans="2:15" ht="30" customHeight="1" x14ac:dyDescent="0.2">
      <c r="C15" s="132" t="s">
        <v>81</v>
      </c>
      <c r="D15" s="133" t="s">
        <v>82</v>
      </c>
      <c r="E15" s="200" t="s">
        <v>83</v>
      </c>
      <c r="F15" s="207" t="s">
        <v>80</v>
      </c>
      <c r="G15" s="245">
        <v>111</v>
      </c>
      <c r="H15" s="246">
        <v>132</v>
      </c>
      <c r="I15" s="297"/>
      <c r="J15" s="212">
        <v>95.534114240783936</v>
      </c>
      <c r="K15" s="213">
        <v>113.2874601593268</v>
      </c>
      <c r="L15" s="144">
        <f>G15*(1+$F$24)</f>
        <v>94.35</v>
      </c>
      <c r="M15" s="140">
        <f t="shared" si="0"/>
        <v>133.19999999999999</v>
      </c>
      <c r="N15" s="140">
        <f t="shared" si="1"/>
        <v>112.2</v>
      </c>
      <c r="O15" s="141">
        <f t="shared" si="2"/>
        <v>158.4</v>
      </c>
    </row>
    <row r="16" spans="2:15" ht="30" customHeight="1" x14ac:dyDescent="0.2">
      <c r="C16" s="251" t="s">
        <v>85</v>
      </c>
      <c r="D16" s="252" t="s">
        <v>86</v>
      </c>
      <c r="E16" s="253" t="s">
        <v>87</v>
      </c>
      <c r="F16" s="206" t="s">
        <v>84</v>
      </c>
      <c r="G16" s="245">
        <v>162</v>
      </c>
      <c r="H16" s="246">
        <v>171</v>
      </c>
      <c r="I16" s="297"/>
      <c r="J16" s="210">
        <v>137.69999999999999</v>
      </c>
      <c r="K16" s="211">
        <v>146.67969019901307</v>
      </c>
      <c r="L16" s="143">
        <f t="shared" si="3"/>
        <v>137.69999999999999</v>
      </c>
      <c r="M16" s="138">
        <f t="shared" si="0"/>
        <v>194.4</v>
      </c>
      <c r="N16" s="138">
        <f t="shared" si="1"/>
        <v>145.35</v>
      </c>
      <c r="O16" s="139">
        <f t="shared" si="2"/>
        <v>205.2</v>
      </c>
    </row>
    <row r="17" spans="2:16" ht="30" customHeight="1" x14ac:dyDescent="0.2">
      <c r="C17" s="301" t="s">
        <v>90</v>
      </c>
      <c r="D17" s="302" t="s">
        <v>91</v>
      </c>
      <c r="E17" s="302" t="s">
        <v>92</v>
      </c>
      <c r="F17" s="302" t="s">
        <v>89</v>
      </c>
      <c r="G17" s="303">
        <v>162</v>
      </c>
      <c r="H17" s="303">
        <v>177</v>
      </c>
      <c r="I17" s="297"/>
      <c r="J17" s="210">
        <v>194.4</v>
      </c>
      <c r="K17" s="211">
        <v>212.4</v>
      </c>
      <c r="L17" s="143">
        <f>G17*(1+$F$24)</f>
        <v>137.69999999999999</v>
      </c>
      <c r="M17" s="138">
        <f t="shared" si="0"/>
        <v>194.4</v>
      </c>
      <c r="N17" s="138">
        <f t="shared" si="1"/>
        <v>150.44999999999999</v>
      </c>
      <c r="O17" s="139">
        <f t="shared" si="2"/>
        <v>212.4</v>
      </c>
    </row>
    <row r="18" spans="2:16" ht="30" customHeight="1" x14ac:dyDescent="0.2">
      <c r="C18" s="308" t="s">
        <v>356</v>
      </c>
      <c r="D18" s="309" t="s">
        <v>357</v>
      </c>
      <c r="E18" s="309" t="s">
        <v>358</v>
      </c>
      <c r="F18" s="309" t="s">
        <v>359</v>
      </c>
      <c r="G18" s="215">
        <v>280</v>
      </c>
      <c r="H18" s="215">
        <v>288</v>
      </c>
      <c r="I18" s="297"/>
      <c r="J18" s="310">
        <v>280</v>
      </c>
      <c r="K18" s="311">
        <v>288</v>
      </c>
      <c r="L18" s="312">
        <f>G18*(1+$F$24)</f>
        <v>238</v>
      </c>
      <c r="M18" s="313">
        <f t="shared" si="0"/>
        <v>336</v>
      </c>
      <c r="N18" s="313">
        <f t="shared" si="1"/>
        <v>244.79999999999998</v>
      </c>
      <c r="O18" s="314">
        <f t="shared" si="2"/>
        <v>345.59999999999997</v>
      </c>
    </row>
    <row r="19" spans="2:16" ht="30" customHeight="1" thickBot="1" x14ac:dyDescent="0.25">
      <c r="C19" s="305"/>
      <c r="D19" s="306"/>
      <c r="E19" s="306"/>
      <c r="F19" s="306"/>
      <c r="G19" s="307"/>
      <c r="H19" s="307"/>
      <c r="I19" s="304"/>
      <c r="J19" s="254"/>
      <c r="K19" s="255"/>
      <c r="L19" s="256"/>
      <c r="M19" s="257"/>
      <c r="N19" s="257"/>
      <c r="O19" s="258"/>
    </row>
    <row r="21" spans="2:16" x14ac:dyDescent="0.2">
      <c r="G21" s="202" t="s">
        <v>103</v>
      </c>
      <c r="H21" s="202"/>
      <c r="I21" s="202"/>
      <c r="J21" s="202"/>
      <c r="K21" s="202"/>
    </row>
    <row r="23" spans="2:16" x14ac:dyDescent="0.2">
      <c r="E23" s="33" t="s">
        <v>281</v>
      </c>
      <c r="F23" s="203">
        <v>0.2</v>
      </c>
    </row>
    <row r="24" spans="2:16" x14ac:dyDescent="0.2">
      <c r="E24" s="33" t="s">
        <v>282</v>
      </c>
      <c r="F24" s="204">
        <v>-0.15</v>
      </c>
    </row>
    <row r="25" spans="2:16" x14ac:dyDescent="0.2">
      <c r="E25" s="33"/>
      <c r="F25" s="204"/>
    </row>
    <row r="26" spans="2:16" x14ac:dyDescent="0.2">
      <c r="B26" s="459" t="s">
        <v>290</v>
      </c>
      <c r="C26" s="460"/>
      <c r="D26" s="460"/>
      <c r="E26" s="460"/>
      <c r="F26" s="460"/>
      <c r="G26" s="460"/>
      <c r="H26" s="460"/>
      <c r="I26" s="460"/>
      <c r="J26" s="460"/>
      <c r="K26" s="460"/>
      <c r="L26" s="460"/>
      <c r="M26" s="460"/>
      <c r="N26" s="460"/>
      <c r="O26" s="460"/>
      <c r="P26" s="460"/>
    </row>
    <row r="27" spans="2:16" x14ac:dyDescent="0.2">
      <c r="B27" s="461" t="s">
        <v>291</v>
      </c>
      <c r="C27" s="460"/>
      <c r="D27" s="460"/>
      <c r="E27" s="460"/>
      <c r="F27" s="460"/>
      <c r="G27" s="460"/>
      <c r="H27" s="460"/>
      <c r="I27" s="460"/>
      <c r="J27" s="460"/>
      <c r="K27" s="460"/>
      <c r="L27" s="460"/>
      <c r="M27" s="460"/>
      <c r="N27" s="460"/>
      <c r="O27" s="460"/>
      <c r="P27" s="460"/>
    </row>
    <row r="28" spans="2:16" x14ac:dyDescent="0.2">
      <c r="B28" s="462" t="s">
        <v>336</v>
      </c>
      <c r="C28" s="460"/>
      <c r="D28" s="460"/>
      <c r="E28" s="460"/>
      <c r="F28" s="460"/>
      <c r="G28" s="460"/>
      <c r="H28" s="460"/>
      <c r="I28" s="460"/>
      <c r="J28" s="460"/>
      <c r="K28" s="460"/>
      <c r="L28" s="460"/>
      <c r="M28" s="460"/>
      <c r="N28" s="460"/>
      <c r="O28" s="460"/>
      <c r="P28" s="460"/>
    </row>
  </sheetData>
  <mergeCells count="10">
    <mergeCell ref="G2:H2"/>
    <mergeCell ref="L3:O3"/>
    <mergeCell ref="L4:M4"/>
    <mergeCell ref="N4:O4"/>
    <mergeCell ref="J2:O2"/>
    <mergeCell ref="B26:P26"/>
    <mergeCell ref="B27:P27"/>
    <mergeCell ref="B28:P28"/>
    <mergeCell ref="J3:K3"/>
    <mergeCell ref="G3:H3"/>
  </mergeCells>
  <pageMargins left="0.7" right="0.7" top="0.75" bottom="0.75" header="0.3" footer="0.3"/>
  <pageSetup scale="52" orientation="landscape" horizontalDpi="0" verticalDpi="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D6002-A645-9D47-8566-DD26E463CC97}">
  <sheetPr>
    <pageSetUpPr fitToPage="1"/>
  </sheetPr>
  <dimension ref="B1:AT50"/>
  <sheetViews>
    <sheetView zoomScaleNormal="100" workbookViewId="0">
      <selection activeCell="T25" sqref="T25"/>
    </sheetView>
  </sheetViews>
  <sheetFormatPr baseColWidth="10" defaultColWidth="8.83203125" defaultRowHeight="15" x14ac:dyDescent="0.2"/>
  <cols>
    <col min="1" max="1" width="2.83203125" customWidth="1"/>
    <col min="2" max="2" width="12.33203125" customWidth="1"/>
    <col min="3" max="3" width="16.5" customWidth="1"/>
    <col min="4" max="4" width="32" customWidth="1"/>
    <col min="5" max="14" width="10.83203125" customWidth="1"/>
    <col min="15" max="15" width="10.83203125" style="1" customWidth="1"/>
    <col min="16" max="22" width="10.83203125" customWidth="1"/>
    <col min="23" max="26" width="10.83203125" style="1" customWidth="1"/>
    <col min="27" max="41" width="10.83203125" customWidth="1"/>
    <col min="42" max="42" width="16.83203125" customWidth="1"/>
    <col min="43" max="43" width="3.6640625" customWidth="1"/>
    <col min="44" max="44" width="17.5" customWidth="1"/>
    <col min="46" max="46" width="0" hidden="1" customWidth="1"/>
  </cols>
  <sheetData>
    <row r="1" spans="2:46" ht="15" customHeight="1" thickBot="1" x14ac:dyDescent="0.25"/>
    <row r="2" spans="2:46" ht="15" customHeight="1" thickBot="1" x14ac:dyDescent="0.25">
      <c r="B2" s="28" t="s">
        <v>191</v>
      </c>
      <c r="C2" s="17"/>
      <c r="D2" s="17"/>
      <c r="E2" s="17"/>
      <c r="F2" s="17"/>
      <c r="G2" s="17"/>
      <c r="H2" s="17"/>
      <c r="I2" s="17"/>
      <c r="L2" s="17"/>
      <c r="M2" s="17"/>
      <c r="N2" s="17"/>
      <c r="O2" s="29"/>
      <c r="P2" s="17"/>
      <c r="Q2" s="17"/>
      <c r="R2" s="17"/>
      <c r="S2" s="124"/>
      <c r="T2" s="17"/>
      <c r="U2" s="518" t="s">
        <v>0</v>
      </c>
      <c r="V2" s="519"/>
      <c r="W2" s="519"/>
      <c r="X2" s="519"/>
      <c r="Y2" s="519"/>
      <c r="Z2" s="519"/>
      <c r="AA2" s="519"/>
      <c r="AB2" s="519"/>
      <c r="AC2" s="519"/>
      <c r="AD2" s="519"/>
      <c r="AE2" s="519"/>
      <c r="AF2" s="519"/>
      <c r="AG2" s="519"/>
      <c r="AH2" s="519"/>
      <c r="AI2" s="519"/>
      <c r="AJ2" s="520"/>
      <c r="AK2" s="522" t="s">
        <v>1</v>
      </c>
      <c r="AL2" s="503"/>
      <c r="AM2" s="503"/>
      <c r="AN2" s="503"/>
      <c r="AO2" s="504"/>
    </row>
    <row r="3" spans="2:46" s="22" customFormat="1" ht="80" x14ac:dyDescent="0.2">
      <c r="B3" s="315" t="s">
        <v>9</v>
      </c>
      <c r="C3" s="316" t="s">
        <v>10</v>
      </c>
      <c r="D3" s="316" t="s">
        <v>104</v>
      </c>
      <c r="E3" s="317" t="s">
        <v>105</v>
      </c>
      <c r="F3" s="317" t="s">
        <v>106</v>
      </c>
      <c r="G3" s="318" t="s">
        <v>107</v>
      </c>
      <c r="H3" s="319" t="s">
        <v>108</v>
      </c>
      <c r="I3" s="318" t="s">
        <v>109</v>
      </c>
      <c r="J3" s="319" t="s">
        <v>110</v>
      </c>
      <c r="K3" s="319" t="s">
        <v>111</v>
      </c>
      <c r="L3" s="319" t="s">
        <v>112</v>
      </c>
      <c r="M3" s="319" t="s">
        <v>113</v>
      </c>
      <c r="N3" s="319" t="s">
        <v>114</v>
      </c>
      <c r="O3" s="317" t="s">
        <v>115</v>
      </c>
      <c r="P3" s="320" t="s">
        <v>116</v>
      </c>
      <c r="Q3" s="319" t="s">
        <v>117</v>
      </c>
      <c r="R3" s="319" t="s">
        <v>118</v>
      </c>
      <c r="S3" s="319" t="s">
        <v>119</v>
      </c>
      <c r="T3" s="317" t="s">
        <v>120</v>
      </c>
      <c r="U3" s="317" t="s">
        <v>279</v>
      </c>
      <c r="V3" s="321" t="s">
        <v>121</v>
      </c>
      <c r="W3" s="322" t="s">
        <v>122</v>
      </c>
      <c r="X3" s="321" t="s">
        <v>123</v>
      </c>
      <c r="Y3" s="323" t="s">
        <v>124</v>
      </c>
      <c r="Z3" s="324" t="s">
        <v>125</v>
      </c>
      <c r="AA3" s="323" t="s">
        <v>126</v>
      </c>
      <c r="AB3" s="325" t="s">
        <v>127</v>
      </c>
      <c r="AC3" s="325" t="s">
        <v>128</v>
      </c>
      <c r="AD3" s="326" t="s">
        <v>129</v>
      </c>
      <c r="AE3" s="326" t="s">
        <v>130</v>
      </c>
      <c r="AF3" s="326" t="s">
        <v>131</v>
      </c>
      <c r="AG3" s="326" t="s">
        <v>132</v>
      </c>
      <c r="AH3" s="326" t="s">
        <v>133</v>
      </c>
      <c r="AI3" s="326" t="s">
        <v>134</v>
      </c>
      <c r="AJ3" s="325" t="s">
        <v>135</v>
      </c>
      <c r="AK3" s="323" t="s">
        <v>279</v>
      </c>
      <c r="AL3" s="323" t="s">
        <v>124</v>
      </c>
      <c r="AM3" s="323" t="s">
        <v>126</v>
      </c>
      <c r="AN3" s="323" t="s">
        <v>136</v>
      </c>
      <c r="AO3" s="323" t="s">
        <v>137</v>
      </c>
      <c r="AP3" s="327" t="str">
        <f>B3</f>
        <v>Yacht Name</v>
      </c>
      <c r="AQ3" s="79"/>
      <c r="AR3" s="79" t="s">
        <v>138</v>
      </c>
    </row>
    <row r="4" spans="2:46" ht="30" customHeight="1" x14ac:dyDescent="0.2">
      <c r="B4" s="347" t="str">
        <f>'2026 Applebee Finish Summary'!I5</f>
        <v>Estella</v>
      </c>
      <c r="C4" s="422" t="str">
        <f>'2026 Applebee Finish Summary'!J5</f>
        <v>Saffier 33</v>
      </c>
      <c r="D4" s="422" t="str">
        <f>'2026 Applebee Finish Summary'!K5</f>
        <v>Doug Kilgren</v>
      </c>
      <c r="E4" s="162">
        <f>'Handicaps-Roster'!G6</f>
        <v>90</v>
      </c>
      <c r="F4" s="162">
        <f>'Handicaps-Roster'!H6</f>
        <v>110</v>
      </c>
      <c r="G4" s="162">
        <f>'Race #7'!AH4</f>
        <v>90</v>
      </c>
      <c r="H4" s="61" t="e">
        <f t="shared" ref="H4:H15" si="0">$E$31/($E$24+G4)</f>
        <v>#DIV/0!</v>
      </c>
      <c r="I4" s="162" t="e">
        <f>'Race #7'!AI4</f>
        <v>#DIV/0!</v>
      </c>
      <c r="J4" s="61" t="e">
        <f t="shared" ref="J4:J15" si="1">$E$31/($E$24+I4)</f>
        <v>#DIV/0!</v>
      </c>
      <c r="K4" s="61" t="str">
        <f>IF(N4&gt;0,"Yes","No")</f>
        <v>No</v>
      </c>
      <c r="L4" s="328">
        <f t="shared" ref="L4:L14" si="2">IF(K4="Yes",1,0)</f>
        <v>0</v>
      </c>
      <c r="M4" s="329"/>
      <c r="N4" s="329"/>
      <c r="O4" s="59">
        <f>IF(N4&gt;0,1,0)</f>
        <v>0</v>
      </c>
      <c r="P4" s="330" t="str">
        <f t="shared" ref="P4:P17" si="3">IF($N4=0,"",RANK($N4,$N$4:$N$17,1)-COUNTIF($N$4:$N$17,0))</f>
        <v/>
      </c>
      <c r="Q4" s="163">
        <f>N4-M4</f>
        <v>0</v>
      </c>
      <c r="R4" s="164">
        <f>HOUR(Q4)*3600+MINUTE(Q4)*60+SECOND(Q4)</f>
        <v>0</v>
      </c>
      <c r="S4" s="164">
        <f t="shared" ref="S4:S15" si="4">IF(N4&gt;0,($I4*$E$20),0)</f>
        <v>0</v>
      </c>
      <c r="T4" s="331" t="s">
        <v>140</v>
      </c>
      <c r="U4" s="332" t="str">
        <f>IF(O4=1,IF(T4="No",I4,G4),"")</f>
        <v/>
      </c>
      <c r="V4" s="333">
        <f t="shared" ref="V4:V17" si="5">IF(T4="Yes",((I4-G4)*$E$20),0)</f>
        <v>0</v>
      </c>
      <c r="W4" s="333">
        <f t="shared" ref="W4:W7" si="6">IF(T4="Yes",(-(J4-H4)*R4),0)</f>
        <v>0</v>
      </c>
      <c r="X4" s="164">
        <f>R4-S4+V4</f>
        <v>0</v>
      </c>
      <c r="Y4" s="59" t="e">
        <f>IF(T4="Yes",R4*H4,R4*J4)</f>
        <v>#DIV/0!</v>
      </c>
      <c r="Z4" s="77" t="str">
        <f t="shared" ref="Z4:Z17" si="7">IF($X4=0,"",RANK($X4,$X$4:$X$17,1)-COUNTIF($X$4:$X$17,0))</f>
        <v/>
      </c>
      <c r="AA4" s="77" t="e">
        <f t="shared" ref="AA4:AA17" si="8">IF($Y4=0,"",RANK($Y4,$Y$4:$Y$17,1)-COUNTIF($Y$4:$Y$17,0))</f>
        <v>#DIV/0!</v>
      </c>
      <c r="AB4" s="169" t="str">
        <f t="shared" ref="AB4:AB15" si="9">IF($E$21="Yes",Z4,AA4)</f>
        <v/>
      </c>
      <c r="AC4" s="173">
        <f t="shared" ref="AC4:AC15" si="10">IF($E$21="Yes",IF(Z4=1,5,IF(Z4=2,4,IF(Z4=3,3,IF(Z4=4,2,IF(Z4=5,1,0))))),IF(AA4=1,5,IF(AA4=2,4,IF(AA4=3,3,IF(AA4=4,2,IF(AA4=5,1,0))))))+L4</f>
        <v>0</v>
      </c>
      <c r="AD4" s="341" t="e">
        <f t="shared" ref="AD4:AD15" si="11">Y4/$E$20</f>
        <v>#DIV/0!</v>
      </c>
      <c r="AE4" s="59" t="e">
        <f t="shared" ref="AE4:AE15" si="12">IF(AD4&gt;0,((Y4/$E$20)-$E$29),0)</f>
        <v>#DIV/0!</v>
      </c>
      <c r="AF4" s="59" t="e">
        <f>IF(AE4&gt;30,30,IF(AE4&lt;-30,-30,(AE4)))</f>
        <v>#DIV/0!</v>
      </c>
      <c r="AG4" s="60" t="e">
        <f t="shared" ref="AG4:AG15" si="13">AF4*$E$22</f>
        <v>#DIV/0!</v>
      </c>
      <c r="AH4" s="165">
        <f>MIN(MAX(IF(T4="Yes",G4+AG4,G4),'Handicaps-Roster'!L6),'Handicaps-Roster'!M6)</f>
        <v>90</v>
      </c>
      <c r="AI4" s="165" t="e">
        <f>MIN(MAX(IF(T4="No",I4+AG4,I4),'Handicaps-Roster'!N6),'Handicaps-Roster'!O6)</f>
        <v>#DIV/0!</v>
      </c>
      <c r="AJ4" s="174" t="e">
        <f>AC4+'Race #7'!AJ4</f>
        <v>#DIV/0!</v>
      </c>
      <c r="AK4" s="176" t="str">
        <f>IF(O4=1,IF(T4="Yes",E4,F4),"")</f>
        <v/>
      </c>
      <c r="AL4" s="288" t="str">
        <f t="shared" ref="AL4:AL15" si="14">IFERROR((($AN$22/($E$24+AK4))*R4),"")</f>
        <v/>
      </c>
      <c r="AM4" s="156" t="e">
        <f t="shared" ref="AM4:AM17" si="15">IF($Y4=0,"",RANK($AL4,$AL$4:$AL$17,1)-COUNTIF($AL$4:$AL$17,0))</f>
        <v>#DIV/0!</v>
      </c>
      <c r="AN4" s="156" t="e">
        <f>IF(AM4=1,5,IF(AM4=2,4,IF(AM4=3,3,IF(AM4=4,2,IF(AM4=5,1,0)))))+O4</f>
        <v>#DIV/0!</v>
      </c>
      <c r="AO4" s="156" t="e">
        <f>AN4+'Race #7'!AO4</f>
        <v>#DIV/0!</v>
      </c>
      <c r="AP4" s="158" t="str">
        <f t="shared" ref="AP4:AP13" si="16">B4</f>
        <v>Estella</v>
      </c>
      <c r="AQ4" s="81"/>
      <c r="AT4" s="1" t="s">
        <v>139</v>
      </c>
    </row>
    <row r="5" spans="2:46" ht="30" customHeight="1" x14ac:dyDescent="0.2">
      <c r="B5" s="65" t="str">
        <f>'2026 Applebee Finish Summary'!I6</f>
        <v>Exit Strategy</v>
      </c>
      <c r="C5" s="423" t="str">
        <f>'2026 Applebee Finish Summary'!J6</f>
        <v>J Boats J-105</v>
      </c>
      <c r="D5" s="423" t="str">
        <f>'2026 Applebee Finish Summary'!K6</f>
        <v>John Stamos/John Woods</v>
      </c>
      <c r="E5" s="46">
        <f>'Handicaps-Roster'!G7</f>
        <v>87</v>
      </c>
      <c r="F5" s="46">
        <f>'Handicaps-Roster'!H7</f>
        <v>110</v>
      </c>
      <c r="G5" s="46">
        <f>'Race #7'!AH5</f>
        <v>78</v>
      </c>
      <c r="H5" s="58" t="e">
        <f t="shared" si="0"/>
        <v>#DIV/0!</v>
      </c>
      <c r="I5" s="46" t="e">
        <f>'Race #7'!AI5</f>
        <v>#DIV/0!</v>
      </c>
      <c r="J5" s="58" t="e">
        <f t="shared" si="1"/>
        <v>#DIV/0!</v>
      </c>
      <c r="K5" s="58" t="str">
        <f t="shared" ref="K5:K17" si="17">IF(N5&gt;0,"Yes","No")</f>
        <v>No</v>
      </c>
      <c r="L5" s="334">
        <f t="shared" si="2"/>
        <v>0</v>
      </c>
      <c r="M5" s="329"/>
      <c r="N5" s="329"/>
      <c r="O5" s="34">
        <f t="shared" ref="O5:O17" si="18">IF(N5&gt;0,1,0)</f>
        <v>0</v>
      </c>
      <c r="P5" s="330" t="str">
        <f t="shared" si="3"/>
        <v/>
      </c>
      <c r="Q5" s="160">
        <f>N5-M5</f>
        <v>0</v>
      </c>
      <c r="R5" s="161">
        <f>HOUR(Q5)*3600+MINUTE(Q5)*60+SECOND(Q5)</f>
        <v>0</v>
      </c>
      <c r="S5" s="161">
        <f t="shared" si="4"/>
        <v>0</v>
      </c>
      <c r="T5" s="331" t="s">
        <v>140</v>
      </c>
      <c r="U5" s="335" t="str">
        <f t="shared" ref="U5:U14" si="19">IF(O5=1,IF(T5="No",I5,G5),"")</f>
        <v/>
      </c>
      <c r="V5" s="336">
        <f t="shared" si="5"/>
        <v>0</v>
      </c>
      <c r="W5" s="336">
        <f t="shared" si="6"/>
        <v>0</v>
      </c>
      <c r="X5" s="161">
        <f t="shared" ref="X5:X14" si="20">R5-S5+V5</f>
        <v>0</v>
      </c>
      <c r="Y5" s="34" t="e">
        <f t="shared" ref="Y5:Y14" si="21">IF(T5="Yes",R5*H5,R5*J5)</f>
        <v>#DIV/0!</v>
      </c>
      <c r="Z5" s="62" t="str">
        <f t="shared" si="7"/>
        <v/>
      </c>
      <c r="AA5" s="62" t="e">
        <f t="shared" si="8"/>
        <v>#DIV/0!</v>
      </c>
      <c r="AB5" s="169" t="str">
        <f t="shared" si="9"/>
        <v/>
      </c>
      <c r="AC5" s="173">
        <f t="shared" si="10"/>
        <v>0</v>
      </c>
      <c r="AD5" s="34" t="e">
        <f t="shared" si="11"/>
        <v>#DIV/0!</v>
      </c>
      <c r="AE5" s="34" t="e">
        <f t="shared" si="12"/>
        <v>#DIV/0!</v>
      </c>
      <c r="AF5" s="34" t="e">
        <f>IF(AE5&gt;30,30,IF(AE5&lt;-30,-30,(AE5)))</f>
        <v>#DIV/0!</v>
      </c>
      <c r="AG5" s="78" t="e">
        <f t="shared" si="13"/>
        <v>#DIV/0!</v>
      </c>
      <c r="AH5" s="166">
        <f>MIN(MAX(IF(T5="Yes",G5+AG5,G5),'Handicaps-Roster'!L7),'Handicaps-Roster'!M7)</f>
        <v>78</v>
      </c>
      <c r="AI5" s="166" t="e">
        <f>MIN(MAX(IF(T5="No",I5+AG5,I5),'Handicaps-Roster'!N7),'Handicaps-Roster'!O7)</f>
        <v>#DIV/0!</v>
      </c>
      <c r="AJ5" s="174" t="e">
        <f>AC5+'Race #7'!AJ5</f>
        <v>#DIV/0!</v>
      </c>
      <c r="AK5" s="175" t="str">
        <f t="shared" ref="AK5:AK14" si="22">IF(O5=1,IF(T5="Yes",E5,F5),"")</f>
        <v/>
      </c>
      <c r="AL5" s="155" t="str">
        <f t="shared" si="14"/>
        <v/>
      </c>
      <c r="AM5" s="156" t="e">
        <f t="shared" si="15"/>
        <v>#DIV/0!</v>
      </c>
      <c r="AN5" s="156" t="e">
        <f t="shared" ref="AN5:AN14" si="23">IF(AM5=1,5,IF(AM5=2,4,IF(AM5=3,3,IF(AM5=4,2,IF(AM5=5,1,0)))))+O5</f>
        <v>#DIV/0!</v>
      </c>
      <c r="AO5" s="156" t="e">
        <f>AN5+'Race #7'!AO5</f>
        <v>#DIV/0!</v>
      </c>
      <c r="AP5" s="120" t="str">
        <f t="shared" si="16"/>
        <v>Exit Strategy</v>
      </c>
      <c r="AQ5" s="81"/>
      <c r="AT5" s="1" t="s">
        <v>140</v>
      </c>
    </row>
    <row r="6" spans="2:46" ht="30" customHeight="1" x14ac:dyDescent="0.2">
      <c r="B6" s="65" t="str">
        <f>'2026 Applebee Finish Summary'!I7</f>
        <v>Magoo</v>
      </c>
      <c r="C6" s="423" t="str">
        <f>'2026 Applebee Finish Summary'!J7</f>
        <v>Catalina 28 MK II</v>
      </c>
      <c r="D6" s="423" t="str">
        <f>'2026 Applebee Finish Summary'!K7</f>
        <v>Steve Luebkeman</v>
      </c>
      <c r="E6" s="46">
        <f>'Handicaps-Roster'!G8</f>
        <v>205</v>
      </c>
      <c r="F6" s="46">
        <f>'Handicaps-Roster'!H8</f>
        <v>208</v>
      </c>
      <c r="G6" s="46">
        <f>'Race #7'!AH6</f>
        <v>195</v>
      </c>
      <c r="H6" s="58" t="e">
        <f t="shared" si="0"/>
        <v>#DIV/0!</v>
      </c>
      <c r="I6" s="46" t="e">
        <f>'Race #7'!AI6</f>
        <v>#DIV/0!</v>
      </c>
      <c r="J6" s="58" t="e">
        <f t="shared" si="1"/>
        <v>#DIV/0!</v>
      </c>
      <c r="K6" s="58" t="str">
        <f t="shared" si="17"/>
        <v>No</v>
      </c>
      <c r="L6" s="334">
        <f t="shared" si="2"/>
        <v>0</v>
      </c>
      <c r="M6" s="329"/>
      <c r="N6" s="329"/>
      <c r="O6" s="34">
        <f t="shared" si="18"/>
        <v>0</v>
      </c>
      <c r="P6" s="337" t="str">
        <f t="shared" si="3"/>
        <v/>
      </c>
      <c r="Q6" s="160">
        <f t="shared" ref="Q6:Q14" si="24">N6-M6</f>
        <v>0</v>
      </c>
      <c r="R6" s="161">
        <f t="shared" ref="R6:R14" si="25">HOUR(Q6)*3600+MINUTE(Q6)*60+SECOND(Q6)</f>
        <v>0</v>
      </c>
      <c r="S6" s="161">
        <f t="shared" si="4"/>
        <v>0</v>
      </c>
      <c r="T6" s="331" t="s">
        <v>140</v>
      </c>
      <c r="U6" s="335" t="str">
        <f t="shared" si="19"/>
        <v/>
      </c>
      <c r="V6" s="336">
        <f t="shared" si="5"/>
        <v>0</v>
      </c>
      <c r="W6" s="336">
        <f t="shared" si="6"/>
        <v>0</v>
      </c>
      <c r="X6" s="161">
        <f t="shared" si="20"/>
        <v>0</v>
      </c>
      <c r="Y6" s="34" t="e">
        <f t="shared" si="21"/>
        <v>#DIV/0!</v>
      </c>
      <c r="Z6" s="62" t="str">
        <f t="shared" si="7"/>
        <v/>
      </c>
      <c r="AA6" s="62" t="e">
        <f t="shared" si="8"/>
        <v>#DIV/0!</v>
      </c>
      <c r="AB6" s="169" t="str">
        <f t="shared" si="9"/>
        <v/>
      </c>
      <c r="AC6" s="173">
        <f t="shared" si="10"/>
        <v>0</v>
      </c>
      <c r="AD6" s="34" t="e">
        <f t="shared" si="11"/>
        <v>#DIV/0!</v>
      </c>
      <c r="AE6" s="34" t="e">
        <f t="shared" si="12"/>
        <v>#DIV/0!</v>
      </c>
      <c r="AF6" s="34" t="e">
        <f t="shared" ref="AF6:AF14" si="26">IF(AE6&gt;30,30,IF(AE6&lt;-30,-30,(AE6)))</f>
        <v>#DIV/0!</v>
      </c>
      <c r="AG6" s="78" t="e">
        <f t="shared" si="13"/>
        <v>#DIV/0!</v>
      </c>
      <c r="AH6" s="166">
        <f>MIN(MAX(IF(T6="Yes",G6+AG6,G6),'Handicaps-Roster'!L8),'Handicaps-Roster'!M8)</f>
        <v>195</v>
      </c>
      <c r="AI6" s="166" t="e">
        <f>MIN(MAX(IF(T6="No",I6+AG6,I6),'Handicaps-Roster'!N8),'Handicaps-Roster'!O8)</f>
        <v>#DIV/0!</v>
      </c>
      <c r="AJ6" s="174" t="e">
        <f>AC6+'Race #7'!AJ6</f>
        <v>#DIV/0!</v>
      </c>
      <c r="AK6" s="175" t="str">
        <f t="shared" si="22"/>
        <v/>
      </c>
      <c r="AL6" s="194" t="str">
        <f t="shared" si="14"/>
        <v/>
      </c>
      <c r="AM6" s="156" t="e">
        <f t="shared" si="15"/>
        <v>#DIV/0!</v>
      </c>
      <c r="AN6" s="156" t="e">
        <f t="shared" si="23"/>
        <v>#DIV/0!</v>
      </c>
      <c r="AO6" s="156" t="e">
        <f>AN6+'Race #7'!AO6</f>
        <v>#DIV/0!</v>
      </c>
      <c r="AP6" s="120" t="str">
        <f t="shared" si="16"/>
        <v>Magoo</v>
      </c>
      <c r="AQ6" s="81"/>
    </row>
    <row r="7" spans="2:46" ht="30" customHeight="1" x14ac:dyDescent="0.2">
      <c r="B7" s="347" t="str">
        <f>'2026 Applebee Finish Summary'!I8</f>
        <v>Feng Shui</v>
      </c>
      <c r="C7" s="422" t="str">
        <f>'2026 Applebee Finish Summary'!J8</f>
        <v>C&amp;C 34</v>
      </c>
      <c r="D7" s="422" t="str">
        <f>'2026 Applebee Finish Summary'!K8</f>
        <v>Mike Finazzo</v>
      </c>
      <c r="E7" s="162">
        <f>'Handicaps-Roster'!G9</f>
        <v>157</v>
      </c>
      <c r="F7" s="162">
        <f>'Handicaps-Roster'!H9</f>
        <v>169</v>
      </c>
      <c r="G7" s="162">
        <f>'Race #7'!AH7</f>
        <v>175.1</v>
      </c>
      <c r="H7" s="61" t="e">
        <f t="shared" si="0"/>
        <v>#DIV/0!</v>
      </c>
      <c r="I7" s="162" t="e">
        <f>'Race #7'!AI7</f>
        <v>#DIV/0!</v>
      </c>
      <c r="J7" s="61" t="e">
        <f t="shared" si="1"/>
        <v>#DIV/0!</v>
      </c>
      <c r="K7" s="61" t="str">
        <f t="shared" si="17"/>
        <v>No</v>
      </c>
      <c r="L7" s="328">
        <f t="shared" si="2"/>
        <v>0</v>
      </c>
      <c r="M7" s="329"/>
      <c r="N7" s="329"/>
      <c r="O7" s="59">
        <f t="shared" si="18"/>
        <v>0</v>
      </c>
      <c r="P7" s="337" t="str">
        <f t="shared" si="3"/>
        <v/>
      </c>
      <c r="Q7" s="163">
        <f>N7-M7</f>
        <v>0</v>
      </c>
      <c r="R7" s="164">
        <f>HOUR(Q7)*3600+MINUTE(Q7)*60+SECOND(Q7)</f>
        <v>0</v>
      </c>
      <c r="S7" s="164">
        <f t="shared" si="4"/>
        <v>0</v>
      </c>
      <c r="T7" s="331" t="s">
        <v>140</v>
      </c>
      <c r="U7" s="332" t="str">
        <f t="shared" si="19"/>
        <v/>
      </c>
      <c r="V7" s="333">
        <f t="shared" si="5"/>
        <v>0</v>
      </c>
      <c r="W7" s="333">
        <f t="shared" si="6"/>
        <v>0</v>
      </c>
      <c r="X7" s="164">
        <f t="shared" si="20"/>
        <v>0</v>
      </c>
      <c r="Y7" s="59" t="e">
        <f t="shared" si="21"/>
        <v>#DIV/0!</v>
      </c>
      <c r="Z7" s="77" t="str">
        <f t="shared" si="7"/>
        <v/>
      </c>
      <c r="AA7" s="77" t="e">
        <f t="shared" si="8"/>
        <v>#DIV/0!</v>
      </c>
      <c r="AB7" s="169" t="str">
        <f t="shared" si="9"/>
        <v/>
      </c>
      <c r="AC7" s="173">
        <f t="shared" si="10"/>
        <v>0</v>
      </c>
      <c r="AD7" s="59" t="e">
        <f t="shared" si="11"/>
        <v>#DIV/0!</v>
      </c>
      <c r="AE7" s="59" t="e">
        <f t="shared" si="12"/>
        <v>#DIV/0!</v>
      </c>
      <c r="AF7" s="59" t="e">
        <f>IF(AE7&gt;30,30,IF(AE7&lt;-30,-30,(AE7)))</f>
        <v>#DIV/0!</v>
      </c>
      <c r="AG7" s="60" t="e">
        <f t="shared" si="13"/>
        <v>#DIV/0!</v>
      </c>
      <c r="AH7" s="165">
        <f>MIN(MAX(IF(T7="Yes",G7+AG7,G7),'Handicaps-Roster'!L9),'Handicaps-Roster'!M9)</f>
        <v>175.1</v>
      </c>
      <c r="AI7" s="165" t="e">
        <f>MIN(MAX(IF(T7="No",I7+AG7,I7),'Handicaps-Roster'!N9),'Handicaps-Roster'!O9)</f>
        <v>#DIV/0!</v>
      </c>
      <c r="AJ7" s="174" t="e">
        <f>AC7+'Race #7'!AJ7</f>
        <v>#DIV/0!</v>
      </c>
      <c r="AK7" s="176" t="str">
        <f t="shared" si="22"/>
        <v/>
      </c>
      <c r="AL7" s="195" t="str">
        <f t="shared" si="14"/>
        <v/>
      </c>
      <c r="AM7" s="156" t="e">
        <f t="shared" si="15"/>
        <v>#DIV/0!</v>
      </c>
      <c r="AN7" s="156" t="e">
        <f t="shared" si="23"/>
        <v>#DIV/0!</v>
      </c>
      <c r="AO7" s="156" t="e">
        <f>AN7+'Race #7'!AO7</f>
        <v>#DIV/0!</v>
      </c>
      <c r="AP7" s="158" t="str">
        <f t="shared" si="16"/>
        <v>Feng Shui</v>
      </c>
      <c r="AQ7" s="81"/>
    </row>
    <row r="8" spans="2:46" ht="30" customHeight="1" x14ac:dyDescent="0.2">
      <c r="B8" s="65" t="str">
        <f>'2026 Applebee Finish Summary'!I9</f>
        <v>Grin</v>
      </c>
      <c r="C8" s="423" t="str">
        <f>'2026 Applebee Finish Summary'!J9</f>
        <v>Ericson 32-200</v>
      </c>
      <c r="D8" s="423" t="str">
        <f>'2026 Applebee Finish Summary'!K9</f>
        <v>John Woomer</v>
      </c>
      <c r="E8" s="46">
        <f>'Handicaps-Roster'!G10</f>
        <v>165</v>
      </c>
      <c r="F8" s="46">
        <f>'Handicaps-Roster'!H10</f>
        <v>177</v>
      </c>
      <c r="G8" s="46">
        <f>'Race #7'!AH8</f>
        <v>198</v>
      </c>
      <c r="H8" s="58" t="e">
        <f t="shared" si="0"/>
        <v>#DIV/0!</v>
      </c>
      <c r="I8" s="46" t="e">
        <f>'Race #7'!AI8</f>
        <v>#DIV/0!</v>
      </c>
      <c r="J8" s="58" t="e">
        <f t="shared" si="1"/>
        <v>#DIV/0!</v>
      </c>
      <c r="K8" s="58" t="str">
        <f t="shared" si="17"/>
        <v>No</v>
      </c>
      <c r="L8" s="334">
        <f t="shared" si="2"/>
        <v>0</v>
      </c>
      <c r="M8" s="329"/>
      <c r="N8" s="329"/>
      <c r="O8" s="34">
        <f t="shared" si="18"/>
        <v>0</v>
      </c>
      <c r="P8" s="337" t="str">
        <f t="shared" si="3"/>
        <v/>
      </c>
      <c r="Q8" s="160">
        <f t="shared" si="24"/>
        <v>0</v>
      </c>
      <c r="R8" s="161">
        <f t="shared" si="25"/>
        <v>0</v>
      </c>
      <c r="S8" s="161">
        <f t="shared" si="4"/>
        <v>0</v>
      </c>
      <c r="T8" s="331" t="s">
        <v>140</v>
      </c>
      <c r="U8" s="335" t="str">
        <f t="shared" si="19"/>
        <v/>
      </c>
      <c r="V8" s="333">
        <f t="shared" si="5"/>
        <v>0</v>
      </c>
      <c r="W8" s="336">
        <f>IF(T8="Yes",(-(J8-H8)*R8),0)</f>
        <v>0</v>
      </c>
      <c r="X8" s="161">
        <f>R8-S8+V8</f>
        <v>0</v>
      </c>
      <c r="Y8" s="34" t="e">
        <f>IF(T8="Yes",R8*H8,R8*J8)</f>
        <v>#DIV/0!</v>
      </c>
      <c r="Z8" s="62" t="str">
        <f t="shared" si="7"/>
        <v/>
      </c>
      <c r="AA8" s="62" t="e">
        <f t="shared" si="8"/>
        <v>#DIV/0!</v>
      </c>
      <c r="AB8" s="169" t="str">
        <f t="shared" si="9"/>
        <v/>
      </c>
      <c r="AC8" s="173">
        <f t="shared" si="10"/>
        <v>0</v>
      </c>
      <c r="AD8" s="34" t="e">
        <f t="shared" si="11"/>
        <v>#DIV/0!</v>
      </c>
      <c r="AE8" s="34" t="e">
        <f t="shared" si="12"/>
        <v>#DIV/0!</v>
      </c>
      <c r="AF8" s="34" t="e">
        <f t="shared" si="26"/>
        <v>#DIV/0!</v>
      </c>
      <c r="AG8" s="78" t="e">
        <f t="shared" si="13"/>
        <v>#DIV/0!</v>
      </c>
      <c r="AH8" s="166">
        <f>MIN(MAX(IF(T8="Yes",G8+AG8,G8),'Handicaps-Roster'!L10),'Handicaps-Roster'!M10)</f>
        <v>198</v>
      </c>
      <c r="AI8" s="166" t="e">
        <f>MIN(MAX(IF(T8="No",I8+AG8,I8),'Handicaps-Roster'!N10),'Handicaps-Roster'!O10)</f>
        <v>#DIV/0!</v>
      </c>
      <c r="AJ8" s="174" t="e">
        <f>AC8+'Race #7'!AJ8</f>
        <v>#DIV/0!</v>
      </c>
      <c r="AK8" s="175" t="str">
        <f t="shared" si="22"/>
        <v/>
      </c>
      <c r="AL8" s="194" t="str">
        <f t="shared" si="14"/>
        <v/>
      </c>
      <c r="AM8" s="156" t="e">
        <f t="shared" si="15"/>
        <v>#DIV/0!</v>
      </c>
      <c r="AN8" s="156" t="e">
        <f t="shared" si="23"/>
        <v>#DIV/0!</v>
      </c>
      <c r="AO8" s="156" t="e">
        <f>AN8+'Race #7'!AO8</f>
        <v>#DIV/0!</v>
      </c>
      <c r="AP8" s="120" t="str">
        <f t="shared" si="16"/>
        <v>Grin</v>
      </c>
      <c r="AQ8" s="81"/>
    </row>
    <row r="9" spans="2:46" ht="30" customHeight="1" x14ac:dyDescent="0.2">
      <c r="B9" s="347" t="str">
        <f>'2026 Applebee Finish Summary'!I10</f>
        <v>Kristin B II</v>
      </c>
      <c r="C9" s="422" t="str">
        <f>'2026 Applebee Finish Summary'!J10</f>
        <v>Catalina 36 TM</v>
      </c>
      <c r="D9" s="422" t="str">
        <f>'2026 Applebee Finish Summary'!K10</f>
        <v>Mike Cann</v>
      </c>
      <c r="E9" s="162">
        <f>'Handicaps-Roster'!G11</f>
        <v>154</v>
      </c>
      <c r="F9" s="162">
        <f>'Handicaps-Roster'!H11</f>
        <v>163</v>
      </c>
      <c r="G9" s="162">
        <f>'Race #7'!AH9</f>
        <v>179.3</v>
      </c>
      <c r="H9" s="61" t="e">
        <f t="shared" si="0"/>
        <v>#DIV/0!</v>
      </c>
      <c r="I9" s="162" t="e">
        <f>'Race #7'!AI9</f>
        <v>#DIV/0!</v>
      </c>
      <c r="J9" s="61" t="e">
        <f t="shared" si="1"/>
        <v>#DIV/0!</v>
      </c>
      <c r="K9" s="61" t="str">
        <f t="shared" si="17"/>
        <v>No</v>
      </c>
      <c r="L9" s="328">
        <f t="shared" si="2"/>
        <v>0</v>
      </c>
      <c r="M9" s="329"/>
      <c r="N9" s="329"/>
      <c r="O9" s="59">
        <f t="shared" si="18"/>
        <v>0</v>
      </c>
      <c r="P9" s="337" t="str">
        <f t="shared" si="3"/>
        <v/>
      </c>
      <c r="Q9" s="163">
        <f t="shared" si="24"/>
        <v>0</v>
      </c>
      <c r="R9" s="164">
        <f t="shared" si="25"/>
        <v>0</v>
      </c>
      <c r="S9" s="164">
        <f t="shared" si="4"/>
        <v>0</v>
      </c>
      <c r="T9" s="331" t="s">
        <v>140</v>
      </c>
      <c r="U9" s="332" t="str">
        <f t="shared" si="19"/>
        <v/>
      </c>
      <c r="V9" s="333">
        <f t="shared" si="5"/>
        <v>0</v>
      </c>
      <c r="W9" s="333">
        <f t="shared" ref="W9:W17" si="27">IF(T9="Yes",(-(J9-H9)*R9),0)</f>
        <v>0</v>
      </c>
      <c r="X9" s="164">
        <f>R9-S9+V9</f>
        <v>0</v>
      </c>
      <c r="Y9" s="59" t="e">
        <f t="shared" si="21"/>
        <v>#DIV/0!</v>
      </c>
      <c r="Z9" s="77" t="str">
        <f t="shared" si="7"/>
        <v/>
      </c>
      <c r="AA9" s="77" t="e">
        <f t="shared" si="8"/>
        <v>#DIV/0!</v>
      </c>
      <c r="AB9" s="169" t="str">
        <f t="shared" si="9"/>
        <v/>
      </c>
      <c r="AC9" s="173">
        <f t="shared" si="10"/>
        <v>0</v>
      </c>
      <c r="AD9" s="59" t="e">
        <f t="shared" si="11"/>
        <v>#DIV/0!</v>
      </c>
      <c r="AE9" s="59" t="e">
        <f t="shared" si="12"/>
        <v>#DIV/0!</v>
      </c>
      <c r="AF9" s="59" t="e">
        <f t="shared" si="26"/>
        <v>#DIV/0!</v>
      </c>
      <c r="AG9" s="60" t="e">
        <f t="shared" si="13"/>
        <v>#DIV/0!</v>
      </c>
      <c r="AH9" s="165">
        <f>MIN(MAX(IF(T9="Yes",G9+AG9,G9),'Handicaps-Roster'!L11),'Handicaps-Roster'!M11)</f>
        <v>179.3</v>
      </c>
      <c r="AI9" s="165" t="e">
        <f>MIN(MAX(IF(T9="No",I9+AG9,I9),'Handicaps-Roster'!N11),'Handicaps-Roster'!O11)</f>
        <v>#DIV/0!</v>
      </c>
      <c r="AJ9" s="174" t="e">
        <f>AC9+'Race #7'!AJ9</f>
        <v>#DIV/0!</v>
      </c>
      <c r="AK9" s="176" t="str">
        <f t="shared" si="22"/>
        <v/>
      </c>
      <c r="AL9" s="195" t="str">
        <f t="shared" si="14"/>
        <v/>
      </c>
      <c r="AM9" s="156" t="e">
        <f t="shared" si="15"/>
        <v>#DIV/0!</v>
      </c>
      <c r="AN9" s="156" t="e">
        <f t="shared" si="23"/>
        <v>#DIV/0!</v>
      </c>
      <c r="AO9" s="156" t="e">
        <f>AN9+'Race #7'!AO9</f>
        <v>#DIV/0!</v>
      </c>
      <c r="AP9" s="158" t="str">
        <f t="shared" si="16"/>
        <v>Kristin B II</v>
      </c>
      <c r="AQ9" s="81"/>
    </row>
    <row r="10" spans="2:46" ht="30" customHeight="1" x14ac:dyDescent="0.2">
      <c r="B10" s="65" t="str">
        <f>'2026 Applebee Finish Summary'!I11</f>
        <v>MacGuffin</v>
      </c>
      <c r="C10" s="423" t="str">
        <f>'2026 Applebee Finish Summary'!J11</f>
        <v>Shock Harbor 25</v>
      </c>
      <c r="D10" s="423" t="str">
        <f>'2026 Applebee Finish Summary'!K11</f>
        <v>Darryl Rosenbaum</v>
      </c>
      <c r="E10" s="46">
        <f>'Handicaps-Roster'!G12</f>
        <v>204</v>
      </c>
      <c r="F10" s="46">
        <f>'Handicaps-Roster'!H12</f>
        <v>204</v>
      </c>
      <c r="G10" s="46">
        <f>'Race #7'!AH10</f>
        <v>204</v>
      </c>
      <c r="H10" s="58" t="e">
        <f t="shared" si="0"/>
        <v>#DIV/0!</v>
      </c>
      <c r="I10" s="46" t="e">
        <f>'Race #7'!AI10</f>
        <v>#DIV/0!</v>
      </c>
      <c r="J10" s="58" t="e">
        <f t="shared" si="1"/>
        <v>#DIV/0!</v>
      </c>
      <c r="K10" s="58" t="str">
        <f t="shared" si="17"/>
        <v>No</v>
      </c>
      <c r="L10" s="334">
        <f t="shared" si="2"/>
        <v>0</v>
      </c>
      <c r="M10" s="329"/>
      <c r="N10" s="329"/>
      <c r="O10" s="34">
        <f t="shared" si="18"/>
        <v>0</v>
      </c>
      <c r="P10" s="337" t="str">
        <f t="shared" si="3"/>
        <v/>
      </c>
      <c r="Q10" s="160">
        <f t="shared" si="24"/>
        <v>0</v>
      </c>
      <c r="R10" s="161">
        <f t="shared" si="25"/>
        <v>0</v>
      </c>
      <c r="S10" s="161">
        <f t="shared" si="4"/>
        <v>0</v>
      </c>
      <c r="T10" s="331" t="s">
        <v>140</v>
      </c>
      <c r="U10" s="335" t="str">
        <f t="shared" si="19"/>
        <v/>
      </c>
      <c r="V10" s="336">
        <f t="shared" si="5"/>
        <v>0</v>
      </c>
      <c r="W10" s="336">
        <f t="shared" si="27"/>
        <v>0</v>
      </c>
      <c r="X10" s="161">
        <f t="shared" si="20"/>
        <v>0</v>
      </c>
      <c r="Y10" s="34" t="e">
        <f t="shared" si="21"/>
        <v>#DIV/0!</v>
      </c>
      <c r="Z10" s="62" t="str">
        <f t="shared" si="7"/>
        <v/>
      </c>
      <c r="AA10" s="62" t="e">
        <f t="shared" si="8"/>
        <v>#DIV/0!</v>
      </c>
      <c r="AB10" s="169" t="str">
        <f t="shared" si="9"/>
        <v/>
      </c>
      <c r="AC10" s="173">
        <f t="shared" si="10"/>
        <v>0</v>
      </c>
      <c r="AD10" s="34" t="e">
        <f t="shared" si="11"/>
        <v>#DIV/0!</v>
      </c>
      <c r="AE10" s="34" t="e">
        <f t="shared" si="12"/>
        <v>#DIV/0!</v>
      </c>
      <c r="AF10" s="34" t="e">
        <f t="shared" si="26"/>
        <v>#DIV/0!</v>
      </c>
      <c r="AG10" s="78" t="e">
        <f t="shared" si="13"/>
        <v>#DIV/0!</v>
      </c>
      <c r="AH10" s="166">
        <f>MIN(MAX(IF(T10="Yes",G10+AG10,G10),'Handicaps-Roster'!L12),'Handicaps-Roster'!M12)</f>
        <v>204</v>
      </c>
      <c r="AI10" s="166" t="e">
        <f>MIN(MAX(IF(T10="No",I10+AG10,I10),'Handicaps-Roster'!N12),'Handicaps-Roster'!O12)</f>
        <v>#DIV/0!</v>
      </c>
      <c r="AJ10" s="174" t="e">
        <f>AC10+'Race #7'!AJ10</f>
        <v>#DIV/0!</v>
      </c>
      <c r="AK10" s="175" t="str">
        <f t="shared" si="22"/>
        <v/>
      </c>
      <c r="AL10" s="194" t="str">
        <f t="shared" si="14"/>
        <v/>
      </c>
      <c r="AM10" s="156" t="e">
        <f t="shared" si="15"/>
        <v>#DIV/0!</v>
      </c>
      <c r="AN10" s="156" t="e">
        <f t="shared" si="23"/>
        <v>#DIV/0!</v>
      </c>
      <c r="AO10" s="156" t="e">
        <f>AN10+'Race #7'!AO10</f>
        <v>#DIV/0!</v>
      </c>
      <c r="AP10" s="120" t="str">
        <f t="shared" si="16"/>
        <v>MacGuffin</v>
      </c>
      <c r="AQ10" s="81"/>
    </row>
    <row r="11" spans="2:46" ht="30" customHeight="1" x14ac:dyDescent="0.2">
      <c r="B11" s="347" t="str">
        <f>'2026 Applebee Finish Summary'!I12</f>
        <v>Mirabelle</v>
      </c>
      <c r="C11" s="422" t="str">
        <f>'2026 Applebee Finish Summary'!J12</f>
        <v>Cape Dory 32</v>
      </c>
      <c r="D11" s="422" t="str">
        <f>'2026 Applebee Finish Summary'!K12</f>
        <v>Campbell McLeod</v>
      </c>
      <c r="E11" s="162">
        <f>'Handicaps-Roster'!G13</f>
        <v>204</v>
      </c>
      <c r="F11" s="162">
        <f>'Handicaps-Roster'!H13</f>
        <v>216</v>
      </c>
      <c r="G11" s="162">
        <f>'Race #7'!AH11</f>
        <v>233.5</v>
      </c>
      <c r="H11" s="61" t="e">
        <f t="shared" si="0"/>
        <v>#DIV/0!</v>
      </c>
      <c r="I11" s="162" t="e">
        <f>'Race #7'!AI11</f>
        <v>#DIV/0!</v>
      </c>
      <c r="J11" s="61" t="e">
        <f t="shared" si="1"/>
        <v>#DIV/0!</v>
      </c>
      <c r="K11" s="415" t="str">
        <f t="shared" si="17"/>
        <v>No</v>
      </c>
      <c r="L11" s="328">
        <f t="shared" si="2"/>
        <v>0</v>
      </c>
      <c r="M11" s="329"/>
      <c r="N11" s="329"/>
      <c r="O11" s="59">
        <f t="shared" si="18"/>
        <v>0</v>
      </c>
      <c r="P11" s="337" t="str">
        <f t="shared" si="3"/>
        <v/>
      </c>
      <c r="Q11" s="163">
        <f>N11-M11</f>
        <v>0</v>
      </c>
      <c r="R11" s="164">
        <f>HOUR(Q11)*3600+MINUTE(Q11)*60+SECOND(Q11)</f>
        <v>0</v>
      </c>
      <c r="S11" s="164">
        <f t="shared" si="4"/>
        <v>0</v>
      </c>
      <c r="T11" s="331" t="s">
        <v>140</v>
      </c>
      <c r="U11" s="332" t="str">
        <f t="shared" si="19"/>
        <v/>
      </c>
      <c r="V11" s="333">
        <f t="shared" si="5"/>
        <v>0</v>
      </c>
      <c r="W11" s="333">
        <f t="shared" si="27"/>
        <v>0</v>
      </c>
      <c r="X11" s="164">
        <f t="shared" si="20"/>
        <v>0</v>
      </c>
      <c r="Y11" s="59" t="e">
        <f t="shared" si="21"/>
        <v>#DIV/0!</v>
      </c>
      <c r="Z11" s="77" t="str">
        <f t="shared" si="7"/>
        <v/>
      </c>
      <c r="AA11" s="77" t="e">
        <f t="shared" si="8"/>
        <v>#DIV/0!</v>
      </c>
      <c r="AB11" s="169" t="str">
        <f t="shared" si="9"/>
        <v/>
      </c>
      <c r="AC11" s="173">
        <f t="shared" si="10"/>
        <v>0</v>
      </c>
      <c r="AD11" s="59" t="e">
        <f t="shared" si="11"/>
        <v>#DIV/0!</v>
      </c>
      <c r="AE11" s="59" t="e">
        <f t="shared" si="12"/>
        <v>#DIV/0!</v>
      </c>
      <c r="AF11" s="59" t="e">
        <f t="shared" si="26"/>
        <v>#DIV/0!</v>
      </c>
      <c r="AG11" s="60" t="e">
        <f t="shared" si="13"/>
        <v>#DIV/0!</v>
      </c>
      <c r="AH11" s="165">
        <f>MIN(MAX(IF(T11="Yes",G11+AG11,G11),'Handicaps-Roster'!L13),'Handicaps-Roster'!M13)</f>
        <v>233.5</v>
      </c>
      <c r="AI11" s="165" t="e">
        <f>MIN(MAX(IF(T11="No",I11+AG11,I11),'Handicaps-Roster'!N13),'Handicaps-Roster'!O13)</f>
        <v>#DIV/0!</v>
      </c>
      <c r="AJ11" s="174" t="e">
        <f>AC11+'Race #7'!AJ11</f>
        <v>#DIV/0!</v>
      </c>
      <c r="AK11" s="176" t="str">
        <f t="shared" si="22"/>
        <v/>
      </c>
      <c r="AL11" s="195" t="str">
        <f t="shared" si="14"/>
        <v/>
      </c>
      <c r="AM11" s="156" t="e">
        <f t="shared" si="15"/>
        <v>#DIV/0!</v>
      </c>
      <c r="AN11" s="156" t="e">
        <f t="shared" si="23"/>
        <v>#DIV/0!</v>
      </c>
      <c r="AO11" s="156" t="e">
        <f>AN11+'Race #7'!AO11</f>
        <v>#DIV/0!</v>
      </c>
      <c r="AP11" s="158" t="str">
        <f t="shared" si="16"/>
        <v>Mirabelle</v>
      </c>
      <c r="AQ11" s="81"/>
    </row>
    <row r="12" spans="2:46" ht="30" customHeight="1" x14ac:dyDescent="0.2">
      <c r="B12" s="65" t="str">
        <f>'2026 Applebee Finish Summary'!I13</f>
        <v>Outrageous</v>
      </c>
      <c r="C12" s="423" t="str">
        <f>'2026 Applebee Finish Summary'!J13</f>
        <v>Tanzer 22</v>
      </c>
      <c r="D12" s="423" t="str">
        <f>'2026 Applebee Finish Summary'!K13</f>
        <v>Don Webb</v>
      </c>
      <c r="E12" s="46">
        <f>'Handicaps-Roster'!G14</f>
        <v>254</v>
      </c>
      <c r="F12" s="46">
        <f>'Handicaps-Roster'!H14</f>
        <v>261</v>
      </c>
      <c r="G12" s="46">
        <f>'Race #7'!AH12</f>
        <v>252.6</v>
      </c>
      <c r="H12" s="58" t="e">
        <f t="shared" si="0"/>
        <v>#DIV/0!</v>
      </c>
      <c r="I12" s="46" t="e">
        <f>'Race #7'!AI12</f>
        <v>#DIV/0!</v>
      </c>
      <c r="J12" s="58" t="e">
        <f t="shared" si="1"/>
        <v>#DIV/0!</v>
      </c>
      <c r="K12" s="58" t="str">
        <f t="shared" si="17"/>
        <v>No</v>
      </c>
      <c r="L12" s="334">
        <f t="shared" si="2"/>
        <v>0</v>
      </c>
      <c r="M12" s="329"/>
      <c r="N12" s="329"/>
      <c r="O12" s="34">
        <f t="shared" si="18"/>
        <v>0</v>
      </c>
      <c r="P12" s="337" t="str">
        <f t="shared" si="3"/>
        <v/>
      </c>
      <c r="Q12" s="160">
        <f t="shared" si="24"/>
        <v>0</v>
      </c>
      <c r="R12" s="161">
        <f t="shared" si="25"/>
        <v>0</v>
      </c>
      <c r="S12" s="161">
        <f t="shared" si="4"/>
        <v>0</v>
      </c>
      <c r="T12" s="331" t="s">
        <v>140</v>
      </c>
      <c r="U12" s="335" t="str">
        <f t="shared" si="19"/>
        <v/>
      </c>
      <c r="V12" s="336">
        <f t="shared" si="5"/>
        <v>0</v>
      </c>
      <c r="W12" s="336">
        <f t="shared" si="27"/>
        <v>0</v>
      </c>
      <c r="X12" s="161">
        <f t="shared" si="20"/>
        <v>0</v>
      </c>
      <c r="Y12" s="34" t="e">
        <f t="shared" si="21"/>
        <v>#DIV/0!</v>
      </c>
      <c r="Z12" s="62" t="str">
        <f t="shared" si="7"/>
        <v/>
      </c>
      <c r="AA12" s="62" t="e">
        <f t="shared" si="8"/>
        <v>#DIV/0!</v>
      </c>
      <c r="AB12" s="169" t="str">
        <f t="shared" si="9"/>
        <v/>
      </c>
      <c r="AC12" s="173">
        <f t="shared" si="10"/>
        <v>0</v>
      </c>
      <c r="AD12" s="34" t="e">
        <f t="shared" si="11"/>
        <v>#DIV/0!</v>
      </c>
      <c r="AE12" s="34" t="e">
        <f t="shared" si="12"/>
        <v>#DIV/0!</v>
      </c>
      <c r="AF12" s="34" t="e">
        <f t="shared" si="26"/>
        <v>#DIV/0!</v>
      </c>
      <c r="AG12" s="78" t="e">
        <f t="shared" si="13"/>
        <v>#DIV/0!</v>
      </c>
      <c r="AH12" s="166">
        <f>MIN(MAX(IF(T12="Yes",G12+AG12,G12),'Handicaps-Roster'!L14),'Handicaps-Roster'!M14)</f>
        <v>252.6</v>
      </c>
      <c r="AI12" s="166" t="e">
        <f>MIN(MAX(IF(T12="No",I12+AG12,I12),'Handicaps-Roster'!N14),'Handicaps-Roster'!O14)</f>
        <v>#DIV/0!</v>
      </c>
      <c r="AJ12" s="174" t="e">
        <f>AC12+'Race #7'!AJ12</f>
        <v>#DIV/0!</v>
      </c>
      <c r="AK12" s="175" t="str">
        <f t="shared" si="22"/>
        <v/>
      </c>
      <c r="AL12" s="194" t="str">
        <f t="shared" si="14"/>
        <v/>
      </c>
      <c r="AM12" s="156" t="e">
        <f t="shared" si="15"/>
        <v>#DIV/0!</v>
      </c>
      <c r="AN12" s="156" t="e">
        <f t="shared" si="23"/>
        <v>#DIV/0!</v>
      </c>
      <c r="AO12" s="156" t="e">
        <f>AN12+'Race #7'!AO12</f>
        <v>#DIV/0!</v>
      </c>
      <c r="AP12" s="120" t="str">
        <f t="shared" si="16"/>
        <v>Outrageous</v>
      </c>
      <c r="AQ12" s="81"/>
    </row>
    <row r="13" spans="2:46" ht="30" customHeight="1" x14ac:dyDescent="0.2">
      <c r="B13" s="347" t="str">
        <f>'2026 Applebee Finish Summary'!I14</f>
        <v>Paradox</v>
      </c>
      <c r="C13" s="422" t="str">
        <f>'2026 Applebee Finish Summary'!J14</f>
        <v>J 92</v>
      </c>
      <c r="D13" s="422" t="str">
        <f>'2026 Applebee Finish Summary'!K14</f>
        <v>Glenn VanOtteren/Ted Standiford</v>
      </c>
      <c r="E13" s="162">
        <f>'Handicaps-Roster'!G15</f>
        <v>111</v>
      </c>
      <c r="F13" s="162">
        <f>'Handicaps-Roster'!H15</f>
        <v>132</v>
      </c>
      <c r="G13" s="162">
        <f>'Race #7'!AH13</f>
        <v>94.35</v>
      </c>
      <c r="H13" s="61" t="e">
        <f t="shared" si="0"/>
        <v>#DIV/0!</v>
      </c>
      <c r="I13" s="162" t="e">
        <f>'Race #7'!AI13</f>
        <v>#DIV/0!</v>
      </c>
      <c r="J13" s="61" t="e">
        <f t="shared" si="1"/>
        <v>#DIV/0!</v>
      </c>
      <c r="K13" s="61" t="str">
        <f t="shared" si="17"/>
        <v>No</v>
      </c>
      <c r="L13" s="328">
        <f t="shared" si="2"/>
        <v>0</v>
      </c>
      <c r="M13" s="329"/>
      <c r="N13" s="329"/>
      <c r="O13" s="59">
        <f t="shared" si="18"/>
        <v>0</v>
      </c>
      <c r="P13" s="337" t="str">
        <f t="shared" si="3"/>
        <v/>
      </c>
      <c r="Q13" s="163">
        <f t="shared" si="24"/>
        <v>0</v>
      </c>
      <c r="R13" s="164">
        <f t="shared" si="25"/>
        <v>0</v>
      </c>
      <c r="S13" s="164">
        <f t="shared" si="4"/>
        <v>0</v>
      </c>
      <c r="T13" s="331" t="s">
        <v>140</v>
      </c>
      <c r="U13" s="165" t="str">
        <f t="shared" si="19"/>
        <v/>
      </c>
      <c r="V13" s="333">
        <f t="shared" si="5"/>
        <v>0</v>
      </c>
      <c r="W13" s="333">
        <f t="shared" si="27"/>
        <v>0</v>
      </c>
      <c r="X13" s="164">
        <f t="shared" si="20"/>
        <v>0</v>
      </c>
      <c r="Y13" s="59" t="e">
        <f t="shared" si="21"/>
        <v>#DIV/0!</v>
      </c>
      <c r="Z13" s="77" t="str">
        <f t="shared" si="7"/>
        <v/>
      </c>
      <c r="AA13" s="77" t="e">
        <f t="shared" si="8"/>
        <v>#DIV/0!</v>
      </c>
      <c r="AB13" s="169" t="str">
        <f t="shared" si="9"/>
        <v/>
      </c>
      <c r="AC13" s="173">
        <f t="shared" si="10"/>
        <v>0</v>
      </c>
      <c r="AD13" s="59" t="e">
        <f t="shared" si="11"/>
        <v>#DIV/0!</v>
      </c>
      <c r="AE13" s="59" t="e">
        <f t="shared" si="12"/>
        <v>#DIV/0!</v>
      </c>
      <c r="AF13" s="59" t="e">
        <f t="shared" si="26"/>
        <v>#DIV/0!</v>
      </c>
      <c r="AG13" s="60" t="e">
        <f t="shared" si="13"/>
        <v>#DIV/0!</v>
      </c>
      <c r="AH13" s="165">
        <f>MIN(MAX(IF(T13="Yes",G13+AG13,G13),'Handicaps-Roster'!L15),'Handicaps-Roster'!M15)</f>
        <v>94.35</v>
      </c>
      <c r="AI13" s="165" t="e">
        <f>MIN(MAX(IF(T13="No",I13+AG13,I13),'Handicaps-Roster'!N15),'Handicaps-Roster'!O15)</f>
        <v>#DIV/0!</v>
      </c>
      <c r="AJ13" s="174" t="e">
        <f>AC13+'Race #7'!AJ13</f>
        <v>#DIV/0!</v>
      </c>
      <c r="AK13" s="176" t="str">
        <f t="shared" si="22"/>
        <v/>
      </c>
      <c r="AL13" s="195" t="str">
        <f t="shared" si="14"/>
        <v/>
      </c>
      <c r="AM13" s="156" t="e">
        <f t="shared" si="15"/>
        <v>#DIV/0!</v>
      </c>
      <c r="AN13" s="156" t="e">
        <f t="shared" si="23"/>
        <v>#DIV/0!</v>
      </c>
      <c r="AO13" s="156" t="e">
        <f>AN13+'Race #7'!AO13</f>
        <v>#DIV/0!</v>
      </c>
      <c r="AP13" s="158" t="str">
        <f t="shared" si="16"/>
        <v>Paradox</v>
      </c>
      <c r="AQ13" s="81"/>
    </row>
    <row r="14" spans="2:46" ht="30" customHeight="1" x14ac:dyDescent="0.2">
      <c r="B14" s="65" t="str">
        <f>'2026 Applebee Finish Summary'!I15</f>
        <v>Pegasus</v>
      </c>
      <c r="C14" s="423" t="str">
        <f>'2026 Applebee Finish Summary'!J15</f>
        <v>Catalina 320</v>
      </c>
      <c r="D14" s="423" t="str">
        <f>'2026 Applebee Finish Summary'!K15</f>
        <v>Bill Allen</v>
      </c>
      <c r="E14" s="46">
        <f>'Handicaps-Roster'!G16</f>
        <v>162</v>
      </c>
      <c r="F14" s="46">
        <f>'Handicaps-Roster'!H16</f>
        <v>171</v>
      </c>
      <c r="G14" s="46">
        <f>'Race #7'!AH14</f>
        <v>137.69999999999999</v>
      </c>
      <c r="H14" s="58" t="e">
        <f t="shared" si="0"/>
        <v>#DIV/0!</v>
      </c>
      <c r="I14" s="46" t="e">
        <f>'Race #7'!AI14</f>
        <v>#DIV/0!</v>
      </c>
      <c r="J14" s="58" t="e">
        <f t="shared" si="1"/>
        <v>#DIV/0!</v>
      </c>
      <c r="K14" s="58" t="str">
        <f t="shared" si="17"/>
        <v>No</v>
      </c>
      <c r="L14" s="334">
        <f t="shared" si="2"/>
        <v>0</v>
      </c>
      <c r="M14" s="329"/>
      <c r="N14" s="329"/>
      <c r="O14" s="34">
        <f t="shared" si="18"/>
        <v>0</v>
      </c>
      <c r="P14" s="337" t="str">
        <f t="shared" si="3"/>
        <v/>
      </c>
      <c r="Q14" s="160">
        <f t="shared" si="24"/>
        <v>0</v>
      </c>
      <c r="R14" s="161">
        <f t="shared" si="25"/>
        <v>0</v>
      </c>
      <c r="S14" s="161">
        <f t="shared" si="4"/>
        <v>0</v>
      </c>
      <c r="T14" s="331" t="s">
        <v>140</v>
      </c>
      <c r="U14" s="335" t="str">
        <f t="shared" si="19"/>
        <v/>
      </c>
      <c r="V14" s="336">
        <f t="shared" si="5"/>
        <v>0</v>
      </c>
      <c r="W14" s="336">
        <f t="shared" si="27"/>
        <v>0</v>
      </c>
      <c r="X14" s="161">
        <f t="shared" si="20"/>
        <v>0</v>
      </c>
      <c r="Y14" s="34" t="e">
        <f t="shared" si="21"/>
        <v>#DIV/0!</v>
      </c>
      <c r="Z14" s="62" t="str">
        <f t="shared" si="7"/>
        <v/>
      </c>
      <c r="AA14" s="62" t="e">
        <f t="shared" si="8"/>
        <v>#DIV/0!</v>
      </c>
      <c r="AB14" s="169" t="str">
        <f t="shared" si="9"/>
        <v/>
      </c>
      <c r="AC14" s="173">
        <f t="shared" si="10"/>
        <v>0</v>
      </c>
      <c r="AD14" s="34" t="e">
        <f t="shared" si="11"/>
        <v>#DIV/0!</v>
      </c>
      <c r="AE14" s="34" t="e">
        <f t="shared" si="12"/>
        <v>#DIV/0!</v>
      </c>
      <c r="AF14" s="34" t="e">
        <f t="shared" si="26"/>
        <v>#DIV/0!</v>
      </c>
      <c r="AG14" s="78" t="e">
        <f t="shared" si="13"/>
        <v>#DIV/0!</v>
      </c>
      <c r="AH14" s="166">
        <f>MIN(MAX(IF(T14="Yes",G14+AG14,G14),'Handicaps-Roster'!L16),'Handicaps-Roster'!M16)</f>
        <v>137.69999999999999</v>
      </c>
      <c r="AI14" s="166" t="e">
        <f>MIN(MAX(IF(T14="No",I14+AG14,I14),'Handicaps-Roster'!N16),'Handicaps-Roster'!O16)</f>
        <v>#DIV/0!</v>
      </c>
      <c r="AJ14" s="174" t="e">
        <f>AC14+'Race #7'!AJ14</f>
        <v>#DIV/0!</v>
      </c>
      <c r="AK14" s="175" t="str">
        <f t="shared" si="22"/>
        <v/>
      </c>
      <c r="AL14" s="194" t="str">
        <f t="shared" si="14"/>
        <v/>
      </c>
      <c r="AM14" s="156" t="e">
        <f t="shared" si="15"/>
        <v>#DIV/0!</v>
      </c>
      <c r="AN14" s="156" t="e">
        <f t="shared" si="23"/>
        <v>#DIV/0!</v>
      </c>
      <c r="AO14" s="156" t="e">
        <f>AN14+'Race #7'!AO14</f>
        <v>#DIV/0!</v>
      </c>
      <c r="AP14" s="120" t="str">
        <f>B14</f>
        <v>Pegasus</v>
      </c>
      <c r="AQ14" s="81"/>
    </row>
    <row r="15" spans="2:46" ht="30" customHeight="1" x14ac:dyDescent="0.2">
      <c r="B15" s="348" t="str">
        <f>'2026 Applebee Finish Summary'!I16</f>
        <v>Triton</v>
      </c>
      <c r="C15" s="424" t="str">
        <f>'2026 Applebee Finish Summary'!J16</f>
        <v>Hans Christian 43</v>
      </c>
      <c r="D15" s="424" t="str">
        <f>'2026 Applebee Finish Summary'!K16</f>
        <v>Alex Parks</v>
      </c>
      <c r="E15" s="46">
        <f>'Handicaps-Roster'!G17</f>
        <v>162</v>
      </c>
      <c r="F15" s="46">
        <f>'Handicaps-Roster'!H17</f>
        <v>177</v>
      </c>
      <c r="G15" s="46">
        <f>'Race #7'!AH15</f>
        <v>194.4</v>
      </c>
      <c r="H15" s="58" t="e">
        <f t="shared" si="0"/>
        <v>#DIV/0!</v>
      </c>
      <c r="I15" s="46" t="e">
        <f>'Race #7'!AI15</f>
        <v>#DIV/0!</v>
      </c>
      <c r="J15" s="58" t="e">
        <f t="shared" si="1"/>
        <v>#DIV/0!</v>
      </c>
      <c r="K15" s="412" t="str">
        <f t="shared" si="17"/>
        <v>No</v>
      </c>
      <c r="L15" s="334">
        <f>IF(K15="Yes",1,0)</f>
        <v>0</v>
      </c>
      <c r="M15" s="329"/>
      <c r="N15" s="329"/>
      <c r="O15" s="34">
        <f t="shared" si="18"/>
        <v>0</v>
      </c>
      <c r="P15" s="337" t="str">
        <f t="shared" si="3"/>
        <v/>
      </c>
      <c r="Q15" s="160">
        <f>N15-M15</f>
        <v>0</v>
      </c>
      <c r="R15" s="161">
        <f>HOUR(Q15)*3600+MINUTE(Q15)*60+SECOND(Q15)</f>
        <v>0</v>
      </c>
      <c r="S15" s="161">
        <f t="shared" si="4"/>
        <v>0</v>
      </c>
      <c r="T15" s="331" t="s">
        <v>140</v>
      </c>
      <c r="U15" s="335" t="str">
        <f>IF(O15=1,IF(T15="No",I15,G15),"")</f>
        <v/>
      </c>
      <c r="V15" s="336">
        <f t="shared" si="5"/>
        <v>0</v>
      </c>
      <c r="W15" s="336">
        <f t="shared" si="27"/>
        <v>0</v>
      </c>
      <c r="X15" s="161">
        <f>R15-S15+V15</f>
        <v>0</v>
      </c>
      <c r="Y15" s="34" t="e">
        <f>IF(T15="Yes",R15*H15,R15*J15)</f>
        <v>#DIV/0!</v>
      </c>
      <c r="Z15" s="62" t="str">
        <f t="shared" si="7"/>
        <v/>
      </c>
      <c r="AA15" s="62" t="e">
        <f t="shared" si="8"/>
        <v>#DIV/0!</v>
      </c>
      <c r="AB15" s="169" t="str">
        <f t="shared" si="9"/>
        <v/>
      </c>
      <c r="AC15" s="173">
        <f t="shared" si="10"/>
        <v>0</v>
      </c>
      <c r="AD15" s="34" t="e">
        <f t="shared" si="11"/>
        <v>#DIV/0!</v>
      </c>
      <c r="AE15" s="34" t="e">
        <f t="shared" si="12"/>
        <v>#DIV/0!</v>
      </c>
      <c r="AF15" s="34" t="e">
        <f>IF(AE15&gt;30,30,IF(AE15&lt;-30,-30,(AE15)))</f>
        <v>#DIV/0!</v>
      </c>
      <c r="AG15" s="78" t="e">
        <f t="shared" si="13"/>
        <v>#DIV/0!</v>
      </c>
      <c r="AH15" s="166">
        <f>MIN(MAX(IF(T15="Yes",G15+AG15,G15),'Handicaps-Roster'!L17),'Handicaps-Roster'!M17)</f>
        <v>194.4</v>
      </c>
      <c r="AI15" s="166" t="e">
        <f>MIN(MAX(IF(T15="No",I15+AG15,I15),'Handicaps-Roster'!N17),'Handicaps-Roster'!O17)</f>
        <v>#DIV/0!</v>
      </c>
      <c r="AJ15" s="174" t="e">
        <f>AC15+'Race #7'!AJ15</f>
        <v>#DIV/0!</v>
      </c>
      <c r="AK15" s="175" t="str">
        <f>IF(O15=1,IF(T15="Yes",E15,F15),"")</f>
        <v/>
      </c>
      <c r="AL15" s="194" t="str">
        <f t="shared" si="14"/>
        <v/>
      </c>
      <c r="AM15" s="156" t="e">
        <f t="shared" si="15"/>
        <v>#DIV/0!</v>
      </c>
      <c r="AN15" s="156" t="e">
        <f>IF(AM15=1,5,IF(AM15=2,4,IF(AM15=3,3,IF(AM15=4,2,IF(AM15=5,1,0)))))+O15</f>
        <v>#DIV/0!</v>
      </c>
      <c r="AO15" s="156" t="e">
        <f>AN15+'Race #7'!AO15</f>
        <v>#DIV/0!</v>
      </c>
      <c r="AP15" s="120" t="str">
        <f>B15</f>
        <v>Triton</v>
      </c>
      <c r="AQ15" s="81"/>
    </row>
    <row r="16" spans="2:46" ht="30" customHeight="1" x14ac:dyDescent="0.2">
      <c r="B16" s="349" t="str">
        <f>'2026 Applebee Finish Summary'!I17</f>
        <v>Lone Gull</v>
      </c>
      <c r="C16" s="425" t="str">
        <f>'2026 Applebee Finish Summary'!J17</f>
        <v>Cal 20</v>
      </c>
      <c r="D16" s="425" t="str">
        <f>'2026 Applebee Finish Summary'!K17</f>
        <v>Kevin Savage</v>
      </c>
      <c r="E16" s="162">
        <f>'Handicaps-Roster'!G18</f>
        <v>280</v>
      </c>
      <c r="F16" s="162">
        <f>'Handicaps-Roster'!H18</f>
        <v>288</v>
      </c>
      <c r="G16" s="162">
        <f>'Race #7'!AH16</f>
        <v>280</v>
      </c>
      <c r="H16" s="61" t="e">
        <f t="shared" ref="H16:H17" si="28">$E$31/($E$24+G16)</f>
        <v>#DIV/0!</v>
      </c>
      <c r="I16" s="162" t="e">
        <f>'Race #7'!AI16</f>
        <v>#DIV/0!</v>
      </c>
      <c r="J16" s="61" t="e">
        <f t="shared" ref="J16:J17" si="29">$E$31/($E$24+I16)</f>
        <v>#DIV/0!</v>
      </c>
      <c r="K16" s="414" t="str">
        <f t="shared" si="17"/>
        <v>No</v>
      </c>
      <c r="L16" s="328">
        <f t="shared" ref="L16:L17" si="30">IF(K16="Yes",1,0)</f>
        <v>0</v>
      </c>
      <c r="M16" s="329"/>
      <c r="N16" s="329"/>
      <c r="O16" s="59">
        <f t="shared" si="18"/>
        <v>0</v>
      </c>
      <c r="P16" s="337" t="str">
        <f t="shared" si="3"/>
        <v/>
      </c>
      <c r="Q16" s="163">
        <f t="shared" ref="Q16:Q17" si="31">N16-M16</f>
        <v>0</v>
      </c>
      <c r="R16" s="164">
        <f t="shared" ref="R16:R17" si="32">HOUR(Q16)*3600+MINUTE(Q16)*60+SECOND(Q16)</f>
        <v>0</v>
      </c>
      <c r="S16" s="164">
        <f t="shared" ref="S16:S17" si="33">IF(N16&gt;0,($I16*$E$20),0)</f>
        <v>0</v>
      </c>
      <c r="T16" s="331" t="s">
        <v>140</v>
      </c>
      <c r="U16" s="332" t="str">
        <f t="shared" ref="U16:U17" si="34">IF(O16=1,IF(T16="No",I16,G16),"")</f>
        <v/>
      </c>
      <c r="V16" s="333">
        <f t="shared" si="5"/>
        <v>0</v>
      </c>
      <c r="W16" s="333">
        <f t="shared" si="27"/>
        <v>0</v>
      </c>
      <c r="X16" s="164">
        <f t="shared" ref="X16:X17" si="35">R16-S16+V16</f>
        <v>0</v>
      </c>
      <c r="Y16" s="59" t="e">
        <f t="shared" ref="Y16:Y17" si="36">IF(T16="Yes",R16*H16,R16*J16)</f>
        <v>#DIV/0!</v>
      </c>
      <c r="Z16" s="77" t="str">
        <f t="shared" si="7"/>
        <v/>
      </c>
      <c r="AA16" s="77" t="e">
        <f t="shared" si="8"/>
        <v>#DIV/0!</v>
      </c>
      <c r="AB16" s="169" t="str">
        <f t="shared" ref="AB16:AB17" si="37">IF($E$21="Yes",Z16,AA16)</f>
        <v/>
      </c>
      <c r="AC16" s="173">
        <f t="shared" ref="AC16:AC17" si="38">IF($E$21="Yes",IF(Z16=1,5,IF(Z16=2,4,IF(Z16=3,3,IF(Z16=4,2,IF(Z16=5,1,0))))),IF(AA16=1,5,IF(AA16=2,4,IF(AA16=3,3,IF(AA16=4,2,IF(AA16=5,1,0))))))+L16</f>
        <v>0</v>
      </c>
      <c r="AD16" s="59" t="e">
        <f t="shared" ref="AD16:AD17" si="39">Y16/$E$20</f>
        <v>#DIV/0!</v>
      </c>
      <c r="AE16" s="59" t="e">
        <f t="shared" ref="AE16:AE17" si="40">IF(AD16&gt;0,((Y16/$E$20)-$E$29),0)</f>
        <v>#DIV/0!</v>
      </c>
      <c r="AF16" s="59" t="e">
        <f t="shared" ref="AF16:AF17" si="41">IF(AE16&gt;30,30,IF(AE16&lt;-30,-30,(AE16)))</f>
        <v>#DIV/0!</v>
      </c>
      <c r="AG16" s="60" t="e">
        <f t="shared" ref="AG16:AG17" si="42">AF16*$E$22</f>
        <v>#DIV/0!</v>
      </c>
      <c r="AH16" s="165">
        <f>MIN(MAX(IF(T16="Yes",G16+AG16,G16),'Handicaps-Roster'!L18),'Handicaps-Roster'!M18)</f>
        <v>280</v>
      </c>
      <c r="AI16" s="165" t="e">
        <f>MIN(MAX(IF(T16="No",I16+AG16,I16),'Handicaps-Roster'!N18),'Handicaps-Roster'!O18)</f>
        <v>#DIV/0!</v>
      </c>
      <c r="AJ16" s="174" t="e">
        <f>AC16+'Race #7'!AJ16</f>
        <v>#DIV/0!</v>
      </c>
      <c r="AK16" s="176" t="str">
        <f t="shared" ref="AK16:AK17" si="43">IF(O16=1,IF(T16="Yes",E16,F16),"")</f>
        <v/>
      </c>
      <c r="AL16" s="195" t="str">
        <f t="shared" ref="AL16:AL17" si="44">IFERROR((($AN$22/($E$24+AK16))*R16),"")</f>
        <v/>
      </c>
      <c r="AM16" s="156" t="e">
        <f t="shared" si="15"/>
        <v>#DIV/0!</v>
      </c>
      <c r="AN16" s="156" t="e">
        <f t="shared" ref="AN16:AN17" si="45">IF(AM16=1,5,IF(AM16=2,4,IF(AM16=3,3,IF(AM16=4,2,IF(AM16=5,1,0)))))+O16</f>
        <v>#DIV/0!</v>
      </c>
      <c r="AO16" s="156" t="e">
        <f>AN16+'Race #7'!AO16</f>
        <v>#DIV/0!</v>
      </c>
      <c r="AP16" s="158" t="str">
        <f t="shared" ref="AP16:AP17" si="46">B16</f>
        <v>Lone Gull</v>
      </c>
      <c r="AQ16" s="81"/>
    </row>
    <row r="17" spans="2:43" ht="30" customHeight="1" thickBot="1" x14ac:dyDescent="0.25">
      <c r="B17" s="396">
        <f>'2026 Applebee Finish Summary'!I18</f>
        <v>0</v>
      </c>
      <c r="C17" s="426">
        <f>'2026 Applebee Finish Summary'!J18</f>
        <v>0</v>
      </c>
      <c r="D17" s="426">
        <f>'2026 Applebee Finish Summary'!K18</f>
        <v>0</v>
      </c>
      <c r="E17" s="275">
        <f>'Handicaps-Roster'!G19</f>
        <v>0</v>
      </c>
      <c r="F17" s="275">
        <f>'Handicaps-Roster'!H19</f>
        <v>0</v>
      </c>
      <c r="G17" s="275">
        <f>'Race #7'!AH17</f>
        <v>0</v>
      </c>
      <c r="H17" s="276" t="e">
        <f t="shared" si="28"/>
        <v>#DIV/0!</v>
      </c>
      <c r="I17" s="275" t="e">
        <f>'Race #7'!AI17</f>
        <v>#DIV/0!</v>
      </c>
      <c r="J17" s="276" t="e">
        <f t="shared" si="29"/>
        <v>#DIV/0!</v>
      </c>
      <c r="K17" s="413" t="str">
        <f t="shared" si="17"/>
        <v>No</v>
      </c>
      <c r="L17" s="342">
        <f t="shared" si="30"/>
        <v>0</v>
      </c>
      <c r="M17" s="338"/>
      <c r="N17" s="338"/>
      <c r="O17" s="277">
        <f t="shared" si="18"/>
        <v>0</v>
      </c>
      <c r="P17" s="339" t="str">
        <f t="shared" si="3"/>
        <v/>
      </c>
      <c r="Q17" s="278">
        <f t="shared" si="31"/>
        <v>0</v>
      </c>
      <c r="R17" s="279">
        <f t="shared" si="32"/>
        <v>0</v>
      </c>
      <c r="S17" s="279">
        <f t="shared" si="33"/>
        <v>0</v>
      </c>
      <c r="T17" s="340" t="s">
        <v>140</v>
      </c>
      <c r="U17" s="395" t="str">
        <f t="shared" si="34"/>
        <v/>
      </c>
      <c r="V17" s="343">
        <f t="shared" si="5"/>
        <v>0</v>
      </c>
      <c r="W17" s="343">
        <f t="shared" si="27"/>
        <v>0</v>
      </c>
      <c r="X17" s="279">
        <f t="shared" si="35"/>
        <v>0</v>
      </c>
      <c r="Y17" s="277" t="e">
        <f t="shared" si="36"/>
        <v>#DIV/0!</v>
      </c>
      <c r="Z17" s="280" t="str">
        <f t="shared" si="7"/>
        <v/>
      </c>
      <c r="AA17" s="280" t="e">
        <f t="shared" si="8"/>
        <v>#DIV/0!</v>
      </c>
      <c r="AB17" s="171" t="str">
        <f t="shared" si="37"/>
        <v/>
      </c>
      <c r="AC17" s="177">
        <f t="shared" si="38"/>
        <v>0</v>
      </c>
      <c r="AD17" s="277" t="e">
        <f t="shared" si="39"/>
        <v>#DIV/0!</v>
      </c>
      <c r="AE17" s="277" t="e">
        <f t="shared" si="40"/>
        <v>#DIV/0!</v>
      </c>
      <c r="AF17" s="277" t="e">
        <f t="shared" si="41"/>
        <v>#DIV/0!</v>
      </c>
      <c r="AG17" s="281" t="e">
        <f t="shared" si="42"/>
        <v>#DIV/0!</v>
      </c>
      <c r="AH17" s="282">
        <f>MIN(MAX(IF(T17="Yes",G17+AG17,G17),'Handicaps-Roster'!L19),'Handicaps-Roster'!M19)</f>
        <v>0</v>
      </c>
      <c r="AI17" s="282" t="e">
        <f>MIN(MAX(IF(T17="No",I17+AG17,I17),'Handicaps-Roster'!N19),'Handicaps-Roster'!O19)</f>
        <v>#DIV/0!</v>
      </c>
      <c r="AJ17" s="178" t="e">
        <f>AC17+'Race #7'!AJ17</f>
        <v>#DIV/0!</v>
      </c>
      <c r="AK17" s="287" t="str">
        <f t="shared" si="43"/>
        <v/>
      </c>
      <c r="AL17" s="286" t="str">
        <f t="shared" si="44"/>
        <v/>
      </c>
      <c r="AM17" s="157" t="e">
        <f t="shared" si="15"/>
        <v>#DIV/0!</v>
      </c>
      <c r="AN17" s="157" t="e">
        <f t="shared" si="45"/>
        <v>#DIV/0!</v>
      </c>
      <c r="AO17" s="157" t="e">
        <f>AN17+'Race #7'!AO17</f>
        <v>#DIV/0!</v>
      </c>
      <c r="AP17" s="284">
        <f t="shared" si="46"/>
        <v>0</v>
      </c>
      <c r="AQ17" s="81"/>
    </row>
    <row r="18" spans="2:43" ht="30" customHeight="1" x14ac:dyDescent="0.2">
      <c r="AO18" s="81"/>
    </row>
    <row r="19" spans="2:43" ht="16" thickBot="1" x14ac:dyDescent="0.25">
      <c r="B19" s="4"/>
      <c r="E19" s="5"/>
      <c r="F19" s="11"/>
      <c r="G19" s="5"/>
      <c r="H19" s="11"/>
      <c r="I19" s="11"/>
      <c r="J19" s="11"/>
      <c r="K19" s="11"/>
      <c r="L19" s="11"/>
      <c r="M19" s="11"/>
      <c r="N19" s="13"/>
      <c r="O19" s="13"/>
      <c r="P19" s="11"/>
      <c r="Q19" s="11"/>
      <c r="R19" s="11"/>
      <c r="S19" s="8"/>
      <c r="T19" s="89" t="s">
        <v>146</v>
      </c>
      <c r="U19" s="11"/>
      <c r="V19" s="11"/>
      <c r="W19" s="13"/>
      <c r="X19" s="13"/>
      <c r="Y19" s="18"/>
      <c r="Z19" s="18"/>
      <c r="AA19" s="13"/>
      <c r="AB19" s="13"/>
      <c r="AC19" s="89" t="s">
        <v>186</v>
      </c>
      <c r="AD19" s="13"/>
      <c r="AE19" s="15"/>
      <c r="AF19" s="16"/>
      <c r="AG19" s="11"/>
      <c r="AH19" s="11"/>
      <c r="AI19" s="5"/>
    </row>
    <row r="20" spans="2:43" ht="18" customHeight="1" x14ac:dyDescent="0.35">
      <c r="D20" s="87" t="s">
        <v>141</v>
      </c>
      <c r="E20" s="86">
        <f>Z30</f>
        <v>0</v>
      </c>
      <c r="G20" s="481" t="s">
        <v>142</v>
      </c>
      <c r="H20" s="482"/>
      <c r="I20" s="511" t="s">
        <v>102</v>
      </c>
      <c r="J20" s="482"/>
      <c r="K20" s="516" t="s">
        <v>143</v>
      </c>
      <c r="L20" s="493"/>
      <c r="M20" s="516" t="s">
        <v>144</v>
      </c>
      <c r="N20" s="491"/>
      <c r="P20" s="512" t="s">
        <v>145</v>
      </c>
      <c r="Q20" s="513"/>
      <c r="U20" s="89" t="s">
        <v>147</v>
      </c>
      <c r="W20" s="89" t="s">
        <v>148</v>
      </c>
      <c r="Z20" s="233" t="s">
        <v>149</v>
      </c>
      <c r="AK20" s="521" t="s">
        <v>150</v>
      </c>
      <c r="AL20" s="500"/>
      <c r="AM20" s="500"/>
      <c r="AN20" s="501"/>
    </row>
    <row r="21" spans="2:43" ht="18" customHeight="1" x14ac:dyDescent="0.2">
      <c r="D21" s="87" t="s">
        <v>151</v>
      </c>
      <c r="E21" s="24" t="s">
        <v>139</v>
      </c>
      <c r="G21" s="477" t="str">
        <f>IF($E$27&gt;0,"First Place","")</f>
        <v/>
      </c>
      <c r="H21" s="478"/>
      <c r="I21" s="483" t="str">
        <f>IF($E$27&gt;0,VLOOKUP(1,$AB$4:$AP$17,15,FALSE),"")</f>
        <v/>
      </c>
      <c r="J21" s="484"/>
      <c r="K21" s="514" t="str">
        <f t="shared" ref="K21:K32" si="47">IFERROR(VLOOKUP(I21,$B$4:$Y$17,24,0)-_xlfn.MINIFS($Y$4:$Y$17,$Y$4:$Y$17,"&gt;0"),"")</f>
        <v/>
      </c>
      <c r="L21" s="515"/>
      <c r="M21" s="514" t="str">
        <f t="shared" ref="M21:M32" si="48">IFERROR(VLOOKUP(I21,$B$4:$X$17,23,0)-_xlfn.MINIFS($X$4:$X$17,$X$4:$X$17,"&gt;0"),"")</f>
        <v/>
      </c>
      <c r="N21" s="517"/>
      <c r="P21" s="115" t="s">
        <v>93</v>
      </c>
      <c r="Q21" s="115" t="s">
        <v>152</v>
      </c>
      <c r="U21" s="30"/>
      <c r="V21" s="30"/>
      <c r="AK21" s="147" t="s">
        <v>153</v>
      </c>
      <c r="AL21" s="148"/>
      <c r="AM21" s="148"/>
      <c r="AN21" s="154" t="e">
        <f>SUM(AK4:AK17)/E27</f>
        <v>#DIV/0!</v>
      </c>
    </row>
    <row r="22" spans="2:43" ht="18" customHeight="1" x14ac:dyDescent="0.2">
      <c r="D22" s="87" t="s">
        <v>154</v>
      </c>
      <c r="E22" s="250">
        <v>0.1</v>
      </c>
      <c r="G22" s="477" t="str">
        <f>IF(E27&gt;1,"Second Place","")</f>
        <v/>
      </c>
      <c r="H22" s="478"/>
      <c r="I22" s="483" t="str">
        <f>IF($E$27&gt;1,VLOOKUP(2,$AB$4:$AP$17,15,FALSE),"")</f>
        <v/>
      </c>
      <c r="J22" s="484"/>
      <c r="K22" s="514" t="str">
        <f t="shared" si="47"/>
        <v/>
      </c>
      <c r="L22" s="515"/>
      <c r="M22" s="514" t="str">
        <f t="shared" si="48"/>
        <v/>
      </c>
      <c r="N22" s="517"/>
      <c r="P22" s="116">
        <v>2</v>
      </c>
      <c r="Q22" s="117">
        <v>1</v>
      </c>
      <c r="U22" s="430" t="s">
        <v>193</v>
      </c>
      <c r="V22" s="430"/>
      <c r="W22" s="430"/>
      <c r="X22" s="107"/>
      <c r="Y22" s="107"/>
      <c r="Z22" s="429"/>
      <c r="AA22" s="148"/>
      <c r="AB22" s="148"/>
      <c r="AK22" s="147" t="s">
        <v>155</v>
      </c>
      <c r="AL22" s="148"/>
      <c r="AM22" s="148"/>
      <c r="AN22" s="154" t="e">
        <f>AN21+E24</f>
        <v>#DIV/0!</v>
      </c>
    </row>
    <row r="23" spans="2:43" ht="18" customHeight="1" thickBot="1" x14ac:dyDescent="0.25">
      <c r="D23" s="87" t="s">
        <v>156</v>
      </c>
      <c r="E23" s="94" t="s">
        <v>174</v>
      </c>
      <c r="G23" s="477" t="str">
        <f>IF(E27&gt;2,"Third Place","")</f>
        <v/>
      </c>
      <c r="H23" s="478"/>
      <c r="I23" s="483" t="str">
        <f>IF($E$27&gt;2,VLOOKUP(3,$AB$4:$AP$17,15,FALSE),"")</f>
        <v/>
      </c>
      <c r="J23" s="484"/>
      <c r="K23" s="514" t="str">
        <f t="shared" si="47"/>
        <v/>
      </c>
      <c r="L23" s="515"/>
      <c r="M23" s="514" t="str">
        <f t="shared" si="48"/>
        <v/>
      </c>
      <c r="N23" s="517"/>
      <c r="P23" s="118">
        <v>3</v>
      </c>
      <c r="Q23" s="108">
        <v>2</v>
      </c>
      <c r="U23" s="430"/>
      <c r="V23" s="430"/>
      <c r="W23" s="430"/>
      <c r="X23" s="107"/>
      <c r="Y23" s="107"/>
      <c r="Z23" s="429"/>
      <c r="AA23" s="148"/>
      <c r="AB23" s="148"/>
      <c r="AK23" s="149" t="s">
        <v>158</v>
      </c>
      <c r="AL23" s="150"/>
      <c r="AM23" s="150"/>
      <c r="AN23" s="152" t="e">
        <f>AN22/(AN21+E24)</f>
        <v>#DIV/0!</v>
      </c>
    </row>
    <row r="24" spans="2:43" ht="18" customHeight="1" x14ac:dyDescent="0.2">
      <c r="D24" s="87" t="s">
        <v>159</v>
      </c>
      <c r="E24" s="249">
        <f>VLOOKUP(E23,I36:K38,3,0)</f>
        <v>480</v>
      </c>
      <c r="G24" s="477" t="str">
        <f>IF(E27&gt;3,"Fourth Place","")</f>
        <v/>
      </c>
      <c r="H24" s="478"/>
      <c r="I24" s="483" t="str">
        <f>IF($E$27&gt;3,VLOOKUP(4,$AB$4:$AP$17,15,FALSE),"")</f>
        <v/>
      </c>
      <c r="J24" s="484"/>
      <c r="K24" s="514" t="str">
        <f t="shared" si="47"/>
        <v/>
      </c>
      <c r="L24" s="515"/>
      <c r="M24" s="514" t="str">
        <f t="shared" si="48"/>
        <v/>
      </c>
      <c r="N24" s="517"/>
      <c r="P24" s="118">
        <v>4</v>
      </c>
      <c r="Q24" s="108">
        <v>2</v>
      </c>
      <c r="U24" s="430"/>
      <c r="V24" s="430"/>
      <c r="W24" s="430"/>
      <c r="X24" s="107"/>
      <c r="Y24" s="107"/>
      <c r="Z24" s="429"/>
      <c r="AA24" s="148"/>
      <c r="AB24" s="148"/>
    </row>
    <row r="25" spans="2:43" ht="18" customHeight="1" x14ac:dyDescent="0.2">
      <c r="D25" s="95"/>
      <c r="E25" s="96"/>
      <c r="G25" s="477" t="str">
        <f>IF(E27&gt;4,"Fifth Place","")</f>
        <v/>
      </c>
      <c r="H25" s="478"/>
      <c r="I25" s="483" t="str">
        <f>IF($E$27&gt;4,VLOOKUP(5,$AB$4:$AP$17,15,FALSE),"")</f>
        <v/>
      </c>
      <c r="J25" s="484"/>
      <c r="K25" s="514" t="str">
        <f t="shared" si="47"/>
        <v/>
      </c>
      <c r="L25" s="515"/>
      <c r="M25" s="514" t="str">
        <f t="shared" si="48"/>
        <v/>
      </c>
      <c r="N25" s="517"/>
      <c r="P25" s="118">
        <v>5</v>
      </c>
      <c r="Q25" s="108">
        <v>2</v>
      </c>
      <c r="U25" s="430"/>
      <c r="V25" s="430"/>
      <c r="W25" s="430"/>
      <c r="X25" s="107"/>
      <c r="Y25" s="107"/>
      <c r="Z25" s="429"/>
      <c r="AA25" s="148"/>
      <c r="AB25" s="148"/>
    </row>
    <row r="26" spans="2:43" ht="18" customHeight="1" x14ac:dyDescent="0.2">
      <c r="D26" s="87" t="s">
        <v>160</v>
      </c>
      <c r="E26" s="23">
        <f>SUM(L4:L17)</f>
        <v>0</v>
      </c>
      <c r="G26" s="477" t="str">
        <f>IF($E$27&gt;5,"Sixth Place","")</f>
        <v/>
      </c>
      <c r="H26" s="478"/>
      <c r="I26" s="483" t="str">
        <f>IF($E$27&gt;5,VLOOKUP(6,$AB$4:$AP$17,15,FALSE),"")</f>
        <v/>
      </c>
      <c r="J26" s="484"/>
      <c r="K26" s="514" t="str">
        <f t="shared" si="47"/>
        <v/>
      </c>
      <c r="L26" s="515"/>
      <c r="M26" s="514" t="str">
        <f t="shared" si="48"/>
        <v/>
      </c>
      <c r="N26" s="517"/>
      <c r="P26" s="118">
        <v>6</v>
      </c>
      <c r="Q26" s="108">
        <v>3</v>
      </c>
      <c r="U26" s="430"/>
      <c r="V26" s="430"/>
      <c r="W26" s="430"/>
      <c r="X26" s="107"/>
      <c r="Y26" s="107"/>
      <c r="Z26" s="429"/>
      <c r="AA26" s="148"/>
      <c r="AB26" s="148"/>
    </row>
    <row r="27" spans="2:43" ht="18" customHeight="1" x14ac:dyDescent="0.2">
      <c r="D27" s="87" t="s">
        <v>161</v>
      </c>
      <c r="E27" s="23">
        <f>SUM(O4:O17)</f>
        <v>0</v>
      </c>
      <c r="G27" s="477" t="str">
        <f>IF($E$27&gt;6,"Seventh Place","")</f>
        <v/>
      </c>
      <c r="H27" s="478"/>
      <c r="I27" s="483" t="str">
        <f>IF($E$27&gt;6,VLOOKUP(7,$AB$4:$AP$17,15,FALSE),"")</f>
        <v/>
      </c>
      <c r="J27" s="484"/>
      <c r="K27" s="514" t="str">
        <f t="shared" si="47"/>
        <v/>
      </c>
      <c r="L27" s="515"/>
      <c r="M27" s="514" t="str">
        <f t="shared" si="48"/>
        <v/>
      </c>
      <c r="N27" s="517"/>
      <c r="P27" s="118">
        <v>7</v>
      </c>
      <c r="Q27" s="108">
        <v>3</v>
      </c>
      <c r="U27" s="430"/>
      <c r="V27" s="430"/>
      <c r="W27" s="430"/>
      <c r="X27" s="107"/>
      <c r="Y27" s="107"/>
      <c r="Z27" s="429"/>
      <c r="AA27" s="148"/>
      <c r="AB27" s="148"/>
    </row>
    <row r="28" spans="2:43" ht="18" customHeight="1" x14ac:dyDescent="0.2">
      <c r="D28" s="87" t="s">
        <v>162</v>
      </c>
      <c r="E28" s="25" t="e">
        <f>VLOOKUP(E27,P22:Q32,2,FALSE)</f>
        <v>#N/A</v>
      </c>
      <c r="G28" s="477" t="str">
        <f>IF(E27&gt;7,"Eighth Place","")</f>
        <v/>
      </c>
      <c r="H28" s="478"/>
      <c r="I28" s="483" t="str">
        <f>IF($E$27&gt;7,VLOOKUP(8,$AB$4:$AP$17,15,FALSE),"")</f>
        <v/>
      </c>
      <c r="J28" s="484"/>
      <c r="K28" s="514" t="str">
        <f t="shared" si="47"/>
        <v/>
      </c>
      <c r="L28" s="515"/>
      <c r="M28" s="514" t="str">
        <f t="shared" si="48"/>
        <v/>
      </c>
      <c r="N28" s="517"/>
      <c r="P28" s="118">
        <v>8</v>
      </c>
      <c r="Q28" s="108">
        <v>3</v>
      </c>
      <c r="U28" s="430"/>
      <c r="V28" s="430"/>
      <c r="W28" s="430"/>
      <c r="X28" s="107"/>
      <c r="Y28" s="107"/>
      <c r="Z28" s="429"/>
      <c r="AA28" s="148"/>
      <c r="AB28" s="148"/>
    </row>
    <row r="29" spans="2:43" ht="18" customHeight="1" x14ac:dyDescent="0.2">
      <c r="D29" s="87" t="s">
        <v>163</v>
      </c>
      <c r="E29" s="26" t="e">
        <f>VLOOKUP(E28,AA4:AD17,4,FALSE)</f>
        <v>#N/A</v>
      </c>
      <c r="G29" s="477" t="str">
        <f>IF(E27&gt;8,"Ninth Place","")</f>
        <v/>
      </c>
      <c r="H29" s="478"/>
      <c r="I29" s="483" t="str">
        <f>IF($E$27&gt;8,VLOOKUP(9,$AB$4:$AP$17,15,FALSE),"")</f>
        <v/>
      </c>
      <c r="J29" s="484"/>
      <c r="K29" s="514" t="str">
        <f t="shared" si="47"/>
        <v/>
      </c>
      <c r="L29" s="515"/>
      <c r="M29" s="514" t="str">
        <f t="shared" si="48"/>
        <v/>
      </c>
      <c r="N29" s="517"/>
      <c r="P29" s="118">
        <v>9</v>
      </c>
      <c r="Q29" s="108">
        <v>4</v>
      </c>
      <c r="U29" s="430"/>
      <c r="V29" s="430"/>
      <c r="W29" s="430"/>
      <c r="X29" s="107"/>
      <c r="Y29" s="107"/>
      <c r="Z29" s="429"/>
      <c r="AA29" s="148"/>
      <c r="AB29" s="148"/>
    </row>
    <row r="30" spans="2:43" ht="18" customHeight="1" x14ac:dyDescent="0.2">
      <c r="D30" s="87" t="s">
        <v>153</v>
      </c>
      <c r="E30" s="181" t="e">
        <f>SUM(U4:U17)/E27</f>
        <v>#DIV/0!</v>
      </c>
      <c r="G30" s="477" t="str">
        <f>IF(E27&gt;9,"Tenth Place","")</f>
        <v/>
      </c>
      <c r="H30" s="478"/>
      <c r="I30" s="483" t="str">
        <f>IF($E$27&gt;9,VLOOKUP(10,$AB$4:$AP$17,15,FALSE),"")</f>
        <v/>
      </c>
      <c r="J30" s="484"/>
      <c r="K30" s="514" t="str">
        <f t="shared" si="47"/>
        <v/>
      </c>
      <c r="L30" s="515"/>
      <c r="M30" s="514" t="str">
        <f t="shared" si="48"/>
        <v/>
      </c>
      <c r="N30" s="517"/>
      <c r="P30" s="118">
        <v>10</v>
      </c>
      <c r="Q30" s="108">
        <v>4</v>
      </c>
      <c r="U30" s="430"/>
      <c r="V30" s="430"/>
      <c r="W30" s="430"/>
      <c r="X30" s="107"/>
      <c r="Y30" s="88" t="s">
        <v>164</v>
      </c>
      <c r="Z30" s="429">
        <f>SUM(Z22:Z26)</f>
        <v>0</v>
      </c>
      <c r="AA30" s="148"/>
      <c r="AB30" s="148"/>
    </row>
    <row r="31" spans="2:43" ht="18" customHeight="1" x14ac:dyDescent="0.2">
      <c r="D31" s="87" t="s">
        <v>155</v>
      </c>
      <c r="E31" s="434" t="e">
        <f>E24+E30</f>
        <v>#DIV/0!</v>
      </c>
      <c r="G31" s="477" t="str">
        <f>IF(E27&gt;10,"Eleventh Place","")</f>
        <v/>
      </c>
      <c r="H31" s="478"/>
      <c r="I31" s="483" t="str">
        <f>IF($E$27&gt;10,VLOOKUP(11,$AB$4:$AP$17,15,FALSE),"")</f>
        <v/>
      </c>
      <c r="J31" s="484"/>
      <c r="K31" s="514" t="str">
        <f t="shared" si="47"/>
        <v/>
      </c>
      <c r="L31" s="515"/>
      <c r="M31" s="514" t="str">
        <f t="shared" si="48"/>
        <v/>
      </c>
      <c r="N31" s="517"/>
      <c r="P31" s="118">
        <v>11</v>
      </c>
      <c r="Q31" s="108">
        <v>4</v>
      </c>
      <c r="W31" s="30"/>
    </row>
    <row r="32" spans="2:43" ht="18" customHeight="1" thickBot="1" x14ac:dyDescent="0.25">
      <c r="D32" s="87" t="s">
        <v>158</v>
      </c>
      <c r="E32" s="418" t="e">
        <f>E31/(E24+E30)</f>
        <v>#DIV/0!</v>
      </c>
      <c r="G32" s="479" t="str">
        <f>IF(E27&gt;11,"Twelth Place","")</f>
        <v/>
      </c>
      <c r="H32" s="480"/>
      <c r="I32" s="494" t="str">
        <f>IF($E$27&gt;11,VLOOKUP(12,$AB$4:$AP$17,15,FALSE),"")</f>
        <v/>
      </c>
      <c r="J32" s="495"/>
      <c r="K32" s="523" t="str">
        <f t="shared" si="47"/>
        <v/>
      </c>
      <c r="L32" s="525"/>
      <c r="M32" s="523" t="str">
        <f t="shared" si="48"/>
        <v/>
      </c>
      <c r="N32" s="524"/>
      <c r="P32" s="119">
        <v>12</v>
      </c>
      <c r="Q32" s="111">
        <v>5</v>
      </c>
      <c r="W32" s="30"/>
    </row>
    <row r="33" spans="4:36" ht="18" customHeight="1" x14ac:dyDescent="0.2">
      <c r="W33" s="30"/>
    </row>
    <row r="34" spans="4:36" ht="18" customHeight="1" x14ac:dyDescent="0.2">
      <c r="D34" s="87" t="s">
        <v>352</v>
      </c>
      <c r="E34" s="416">
        <f>_xlfn.MINIFS(Q4:Q17,Q4:Q17,"&gt;0")*86400</f>
        <v>0</v>
      </c>
      <c r="I34" s="505" t="s">
        <v>165</v>
      </c>
      <c r="J34" s="506"/>
      <c r="K34" s="507"/>
    </row>
    <row r="35" spans="4:36" x14ac:dyDescent="0.2">
      <c r="I35" s="97" t="s">
        <v>166</v>
      </c>
      <c r="J35" s="93" t="s">
        <v>167</v>
      </c>
      <c r="K35" s="98" t="s">
        <v>168</v>
      </c>
    </row>
    <row r="36" spans="4:36" x14ac:dyDescent="0.2">
      <c r="D36" s="88" t="s">
        <v>169</v>
      </c>
      <c r="E36" s="47" t="str">
        <f>IF(E21="Yes","Distance","Time")</f>
        <v>Distance</v>
      </c>
      <c r="I36" s="106" t="s">
        <v>170</v>
      </c>
      <c r="J36" s="107" t="s">
        <v>171</v>
      </c>
      <c r="K36" s="108">
        <v>600</v>
      </c>
      <c r="T36" s="4"/>
    </row>
    <row r="37" spans="4:36" x14ac:dyDescent="0.2">
      <c r="D37" s="2" t="s">
        <v>172</v>
      </c>
      <c r="I37" s="106" t="s">
        <v>157</v>
      </c>
      <c r="J37" s="126" t="s">
        <v>173</v>
      </c>
      <c r="K37" s="108">
        <v>550</v>
      </c>
      <c r="N37" s="42"/>
    </row>
    <row r="38" spans="4:36" x14ac:dyDescent="0.2">
      <c r="D38" s="2"/>
      <c r="I38" s="109" t="s">
        <v>174</v>
      </c>
      <c r="J38" s="110" t="s">
        <v>175</v>
      </c>
      <c r="K38" s="111">
        <v>480</v>
      </c>
      <c r="N38" s="42"/>
    </row>
    <row r="39" spans="4:36" x14ac:dyDescent="0.2">
      <c r="D39" s="2"/>
      <c r="N39" s="42"/>
    </row>
    <row r="40" spans="4:36" x14ac:dyDescent="0.2">
      <c r="N40" s="42"/>
    </row>
    <row r="41" spans="4:36" x14ac:dyDescent="0.2">
      <c r="N41" s="42"/>
      <c r="AJ41" s="1"/>
    </row>
    <row r="42" spans="4:36" x14ac:dyDescent="0.2">
      <c r="D42" s="291" t="s">
        <v>309</v>
      </c>
      <c r="E42" s="202"/>
      <c r="F42" s="202"/>
      <c r="G42" s="202"/>
      <c r="H42" s="202"/>
      <c r="N42" s="42"/>
    </row>
    <row r="43" spans="4:36" x14ac:dyDescent="0.2">
      <c r="D43" s="2"/>
      <c r="N43" s="42"/>
    </row>
    <row r="44" spans="4:36" x14ac:dyDescent="0.2">
      <c r="D44" s="2"/>
      <c r="N44" s="42"/>
    </row>
    <row r="45" spans="4:36" x14ac:dyDescent="0.2">
      <c r="N45" s="42"/>
    </row>
    <row r="46" spans="4:36" x14ac:dyDescent="0.2">
      <c r="N46" s="42"/>
    </row>
    <row r="47" spans="4:36" x14ac:dyDescent="0.2">
      <c r="N47" s="42"/>
    </row>
    <row r="48" spans="4:36" x14ac:dyDescent="0.2">
      <c r="N48" s="42"/>
    </row>
    <row r="49" spans="14:14" x14ac:dyDescent="0.2">
      <c r="N49" s="42"/>
    </row>
    <row r="50" spans="14:14" x14ac:dyDescent="0.2">
      <c r="N50" s="42"/>
    </row>
  </sheetData>
  <mergeCells count="57">
    <mergeCell ref="U2:AJ2"/>
    <mergeCell ref="AK20:AN20"/>
    <mergeCell ref="AK2:AO2"/>
    <mergeCell ref="I25:J25"/>
    <mergeCell ref="I34:K34"/>
    <mergeCell ref="M32:N32"/>
    <mergeCell ref="M27:N27"/>
    <mergeCell ref="M28:N28"/>
    <mergeCell ref="M29:N29"/>
    <mergeCell ref="M30:N30"/>
    <mergeCell ref="M31:N31"/>
    <mergeCell ref="K32:L32"/>
    <mergeCell ref="I31:J31"/>
    <mergeCell ref="K27:L27"/>
    <mergeCell ref="K28:L28"/>
    <mergeCell ref="K29:L29"/>
    <mergeCell ref="K30:L30"/>
    <mergeCell ref="K31:L31"/>
    <mergeCell ref="I32:J32"/>
    <mergeCell ref="I26:J26"/>
    <mergeCell ref="I27:J27"/>
    <mergeCell ref="I28:J28"/>
    <mergeCell ref="I29:J29"/>
    <mergeCell ref="I30:J30"/>
    <mergeCell ref="P20:Q20"/>
    <mergeCell ref="K23:L23"/>
    <mergeCell ref="K24:L24"/>
    <mergeCell ref="K25:L25"/>
    <mergeCell ref="K26:L26"/>
    <mergeCell ref="M20:N20"/>
    <mergeCell ref="M21:N21"/>
    <mergeCell ref="M22:N22"/>
    <mergeCell ref="M23:N23"/>
    <mergeCell ref="M24:N24"/>
    <mergeCell ref="M25:N25"/>
    <mergeCell ref="M26:N26"/>
    <mergeCell ref="K20:L20"/>
    <mergeCell ref="K21:L21"/>
    <mergeCell ref="K22:L22"/>
    <mergeCell ref="G20:H20"/>
    <mergeCell ref="I22:J22"/>
    <mergeCell ref="I23:J23"/>
    <mergeCell ref="I24:J24"/>
    <mergeCell ref="G21:H21"/>
    <mergeCell ref="G22:H22"/>
    <mergeCell ref="G23:H23"/>
    <mergeCell ref="G24:H24"/>
    <mergeCell ref="I20:J20"/>
    <mergeCell ref="I21:J21"/>
    <mergeCell ref="G30:H30"/>
    <mergeCell ref="G31:H31"/>
    <mergeCell ref="G32:H32"/>
    <mergeCell ref="G25:H25"/>
    <mergeCell ref="G26:H26"/>
    <mergeCell ref="G27:H27"/>
    <mergeCell ref="G28:H28"/>
    <mergeCell ref="G29:H29"/>
  </mergeCells>
  <conditionalFormatting sqref="P4:P17">
    <cfRule type="cellIs" dxfId="7" priority="3" operator="equal">
      <formula>1</formula>
    </cfRule>
  </conditionalFormatting>
  <conditionalFormatting sqref="T4:U12 T13 T14:U17">
    <cfRule type="cellIs" dxfId="6" priority="1" operator="equal">
      <formula>"Yes"</formula>
    </cfRule>
  </conditionalFormatting>
  <dataValidations count="2">
    <dataValidation type="list" allowBlank="1" showInputMessage="1" showErrorMessage="1" sqref="E21 E25 K4:K17 T4:T17" xr:uid="{0EBF2C0A-2FA1-3547-99D3-7420C8662FAF}">
      <formula1>$AT$4:$AT$5</formula1>
    </dataValidation>
    <dataValidation type="list" allowBlank="1" showInputMessage="1" showErrorMessage="1" sqref="E23" xr:uid="{3BEA50C0-833C-44BE-AAA6-BBBA50002D88}">
      <formula1>$I$36:$I$38</formula1>
    </dataValidation>
  </dataValidations>
  <printOptions horizontalCentered="1"/>
  <pageMargins left="0.7" right="0.7" top="0.75" bottom="0.75" header="0.3" footer="0.3"/>
  <pageSetup paperSize="9" scale="50" fitToWidth="2" orientation="landscape" r:id="rId1"/>
  <ignoredErrors>
    <ignoredError sqref="I6 I4 I8:I14" 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84860-883E-9048-BB47-02926C967B42}">
  <sheetPr>
    <pageSetUpPr fitToPage="1"/>
  </sheetPr>
  <dimension ref="B1:AT44"/>
  <sheetViews>
    <sheetView zoomScaleNormal="100" workbookViewId="0">
      <selection activeCell="T25" sqref="T25"/>
    </sheetView>
  </sheetViews>
  <sheetFormatPr baseColWidth="10" defaultColWidth="8.83203125" defaultRowHeight="15" x14ac:dyDescent="0.2"/>
  <cols>
    <col min="1" max="1" width="2.83203125" customWidth="1"/>
    <col min="2" max="2" width="12.33203125" customWidth="1"/>
    <col min="3" max="3" width="16.5" customWidth="1"/>
    <col min="4" max="4" width="32" customWidth="1"/>
    <col min="5" max="14" width="10.83203125" customWidth="1"/>
    <col min="15" max="15" width="10.83203125" style="1" customWidth="1"/>
    <col min="16" max="22" width="10.83203125" customWidth="1"/>
    <col min="23" max="26" width="10.83203125" style="1" customWidth="1"/>
    <col min="27" max="41" width="10.83203125" customWidth="1"/>
    <col min="42" max="42" width="16.83203125" customWidth="1"/>
    <col min="43" max="43" width="3.6640625" customWidth="1"/>
    <col min="44" max="44" width="9" customWidth="1"/>
    <col min="46" max="46" width="0" hidden="1" customWidth="1"/>
  </cols>
  <sheetData>
    <row r="1" spans="2:46" ht="15" customHeight="1" thickBot="1" x14ac:dyDescent="0.25"/>
    <row r="2" spans="2:46" ht="15" customHeight="1" thickBot="1" x14ac:dyDescent="0.25">
      <c r="B2" s="28" t="s">
        <v>192</v>
      </c>
      <c r="C2" s="17"/>
      <c r="D2" s="17"/>
      <c r="E2" s="17"/>
      <c r="F2" s="17"/>
      <c r="G2" s="17"/>
      <c r="H2" s="17"/>
      <c r="I2" s="17"/>
      <c r="L2" s="17"/>
      <c r="M2" s="17"/>
      <c r="N2" s="17"/>
      <c r="O2" s="29"/>
      <c r="P2" s="17"/>
      <c r="Q2" s="17"/>
      <c r="R2" s="17"/>
      <c r="S2" s="124"/>
      <c r="T2" s="17"/>
      <c r="U2" s="518" t="s">
        <v>0</v>
      </c>
      <c r="V2" s="519"/>
      <c r="W2" s="519"/>
      <c r="X2" s="519"/>
      <c r="Y2" s="519"/>
      <c r="Z2" s="519"/>
      <c r="AA2" s="519"/>
      <c r="AB2" s="519"/>
      <c r="AC2" s="519"/>
      <c r="AD2" s="519"/>
      <c r="AE2" s="519"/>
      <c r="AF2" s="519"/>
      <c r="AG2" s="519"/>
      <c r="AH2" s="519"/>
      <c r="AI2" s="519"/>
      <c r="AJ2" s="520"/>
      <c r="AK2" s="522" t="s">
        <v>1</v>
      </c>
      <c r="AL2" s="503"/>
      <c r="AM2" s="503"/>
      <c r="AN2" s="503"/>
      <c r="AO2" s="504"/>
    </row>
    <row r="3" spans="2:46" s="22" customFormat="1" ht="80" x14ac:dyDescent="0.2">
      <c r="B3" s="315" t="s">
        <v>9</v>
      </c>
      <c r="C3" s="316" t="s">
        <v>10</v>
      </c>
      <c r="D3" s="316" t="s">
        <v>104</v>
      </c>
      <c r="E3" s="317" t="s">
        <v>105</v>
      </c>
      <c r="F3" s="317" t="s">
        <v>106</v>
      </c>
      <c r="G3" s="318" t="s">
        <v>107</v>
      </c>
      <c r="H3" s="319" t="s">
        <v>108</v>
      </c>
      <c r="I3" s="318" t="s">
        <v>109</v>
      </c>
      <c r="J3" s="319" t="s">
        <v>110</v>
      </c>
      <c r="K3" s="319" t="s">
        <v>111</v>
      </c>
      <c r="L3" s="319" t="s">
        <v>112</v>
      </c>
      <c r="M3" s="319" t="s">
        <v>113</v>
      </c>
      <c r="N3" s="319" t="s">
        <v>114</v>
      </c>
      <c r="O3" s="317" t="s">
        <v>115</v>
      </c>
      <c r="P3" s="320" t="s">
        <v>116</v>
      </c>
      <c r="Q3" s="319" t="s">
        <v>117</v>
      </c>
      <c r="R3" s="319" t="s">
        <v>118</v>
      </c>
      <c r="S3" s="319" t="s">
        <v>119</v>
      </c>
      <c r="T3" s="317" t="s">
        <v>120</v>
      </c>
      <c r="U3" s="317" t="s">
        <v>279</v>
      </c>
      <c r="V3" s="321" t="s">
        <v>121</v>
      </c>
      <c r="W3" s="322" t="s">
        <v>122</v>
      </c>
      <c r="X3" s="321" t="s">
        <v>123</v>
      </c>
      <c r="Y3" s="323" t="s">
        <v>124</v>
      </c>
      <c r="Z3" s="324" t="s">
        <v>125</v>
      </c>
      <c r="AA3" s="323" t="s">
        <v>126</v>
      </c>
      <c r="AB3" s="325" t="s">
        <v>127</v>
      </c>
      <c r="AC3" s="325" t="s">
        <v>128</v>
      </c>
      <c r="AD3" s="326" t="s">
        <v>129</v>
      </c>
      <c r="AE3" s="326" t="s">
        <v>130</v>
      </c>
      <c r="AF3" s="326" t="s">
        <v>131</v>
      </c>
      <c r="AG3" s="326" t="s">
        <v>132</v>
      </c>
      <c r="AH3" s="326" t="s">
        <v>133</v>
      </c>
      <c r="AI3" s="326" t="s">
        <v>134</v>
      </c>
      <c r="AJ3" s="325" t="s">
        <v>135</v>
      </c>
      <c r="AK3" s="323" t="s">
        <v>279</v>
      </c>
      <c r="AL3" s="323" t="s">
        <v>124</v>
      </c>
      <c r="AM3" s="323" t="s">
        <v>126</v>
      </c>
      <c r="AN3" s="323" t="s">
        <v>136</v>
      </c>
      <c r="AO3" s="323" t="s">
        <v>137</v>
      </c>
      <c r="AP3" s="327" t="str">
        <f>B3</f>
        <v>Yacht Name</v>
      </c>
      <c r="AQ3" s="79"/>
      <c r="AR3" s="79" t="s">
        <v>138</v>
      </c>
    </row>
    <row r="4" spans="2:46" ht="30" customHeight="1" x14ac:dyDescent="0.2">
      <c r="B4" s="347" t="str">
        <f>'2026 Applebee Finish Summary'!I5</f>
        <v>Estella</v>
      </c>
      <c r="C4" s="422" t="str">
        <f>'2026 Applebee Finish Summary'!J5</f>
        <v>Saffier 33</v>
      </c>
      <c r="D4" s="422" t="str">
        <f>'2026 Applebee Finish Summary'!K5</f>
        <v>Doug Kilgren</v>
      </c>
      <c r="E4" s="162">
        <f>'Handicaps-Roster'!G6</f>
        <v>90</v>
      </c>
      <c r="F4" s="162">
        <f>'Handicaps-Roster'!H6</f>
        <v>110</v>
      </c>
      <c r="G4" s="162">
        <f>'Race #8'!AH4</f>
        <v>90</v>
      </c>
      <c r="H4" s="61" t="e">
        <f t="shared" ref="H4:H15" si="0">$E$31/($E$24+G4)</f>
        <v>#DIV/0!</v>
      </c>
      <c r="I4" s="162" t="e">
        <f>'Race #8'!AI4</f>
        <v>#DIV/0!</v>
      </c>
      <c r="J4" s="61" t="e">
        <f t="shared" ref="J4:J15" si="1">$E$31/($E$24+I4)</f>
        <v>#DIV/0!</v>
      </c>
      <c r="K4" s="61" t="str">
        <f>IF(N4&gt;0,"Yes","No")</f>
        <v>No</v>
      </c>
      <c r="L4" s="328">
        <f t="shared" ref="L4:L14" si="2">IF(K4="Yes",1,0)</f>
        <v>0</v>
      </c>
      <c r="M4" s="329"/>
      <c r="N4" s="329"/>
      <c r="O4" s="59">
        <f>IF(N4&gt;0,1,0)</f>
        <v>0</v>
      </c>
      <c r="P4" s="330" t="str">
        <f t="shared" ref="P4:P17" si="3">IF($N4=0,"",RANK($N4,$N$4:$N$17,1)-COUNTIF($N$4:$N$17,0))</f>
        <v/>
      </c>
      <c r="Q4" s="163">
        <f>N4-M4</f>
        <v>0</v>
      </c>
      <c r="R4" s="164">
        <f>HOUR(Q4)*3600+MINUTE(Q4)*60+SECOND(Q4)</f>
        <v>0</v>
      </c>
      <c r="S4" s="164">
        <f t="shared" ref="S4:S15" si="4">IF(N4&gt;0,($I4*$E$20),0)</f>
        <v>0</v>
      </c>
      <c r="T4" s="331" t="s">
        <v>140</v>
      </c>
      <c r="U4" s="332" t="str">
        <f>IF(O4=1,IF(T4="No",I4,G4),"")</f>
        <v/>
      </c>
      <c r="V4" s="333">
        <f t="shared" ref="V4:V17" si="5">IF(T4="Yes",((I4-G4)*$E$20),0)</f>
        <v>0</v>
      </c>
      <c r="W4" s="333">
        <f t="shared" ref="W4:W7" si="6">IF(T4="Yes",(-(J4-H4)*R4),0)</f>
        <v>0</v>
      </c>
      <c r="X4" s="164">
        <f>R4-S4+V4</f>
        <v>0</v>
      </c>
      <c r="Y4" s="59" t="e">
        <f>IF(T4="Yes",R4*H4,R4*J4)</f>
        <v>#DIV/0!</v>
      </c>
      <c r="Z4" s="77" t="str">
        <f t="shared" ref="Z4:Z17" si="7">IF($X4=0,"",RANK($X4,$X$4:$X$17,1)-COUNTIF($X$4:$X$17,0))</f>
        <v/>
      </c>
      <c r="AA4" s="77" t="e">
        <f t="shared" ref="AA4:AA17" si="8">IF($Y4=0,"",RANK($Y4,$Y$4:$Y$17,1)-COUNTIF($Y$4:$Y$17,0))</f>
        <v>#DIV/0!</v>
      </c>
      <c r="AB4" s="169" t="e">
        <f t="shared" ref="AB4:AB15" si="9">IF($E$21="Yes",Z4,AA4)</f>
        <v>#DIV/0!</v>
      </c>
      <c r="AC4" s="173" t="e">
        <f t="shared" ref="AC4:AC15" si="10">IF($E$21="Yes",IF(Z4=1,5,IF(Z4=2,4,IF(Z4=3,3,IF(Z4=4,2,IF(Z4=5,1,0))))),IF(AA4=1,5,IF(AA4=2,4,IF(AA4=3,3,IF(AA4=4,2,IF(AA4=5,1,0))))))+L4</f>
        <v>#DIV/0!</v>
      </c>
      <c r="AD4" s="59" t="e">
        <f t="shared" ref="AD4:AD15" si="11">Y4/$E$20</f>
        <v>#DIV/0!</v>
      </c>
      <c r="AE4" s="59" t="e">
        <f t="shared" ref="AE4:AE15" si="12">IF(AD4&gt;0,((Y4/$E$20)-$E$29),0)</f>
        <v>#DIV/0!</v>
      </c>
      <c r="AF4" s="59" t="e">
        <f>IF(AE4&gt;30,30,IF(AE4&lt;-30,-30,(AE4)))</f>
        <v>#DIV/0!</v>
      </c>
      <c r="AG4" s="60" t="e">
        <f t="shared" ref="AG4:AG15" si="13">AF4*$E$22</f>
        <v>#DIV/0!</v>
      </c>
      <c r="AH4" s="165">
        <f>MIN(MAX(IF(T4="Yes",G4+AG4,G4),'Handicaps-Roster'!L6),'Handicaps-Roster'!M6)</f>
        <v>90</v>
      </c>
      <c r="AI4" s="165" t="e">
        <f>MIN(MAX(IF(T4="No",I4+AG4,I4),'Handicaps-Roster'!N6),'Handicaps-Roster'!O6)</f>
        <v>#DIV/0!</v>
      </c>
      <c r="AJ4" s="174" t="e">
        <f>AC4+'Race #8'!AJ4</f>
        <v>#DIV/0!</v>
      </c>
      <c r="AK4" s="176" t="str">
        <f>IF(O4=1,IF(T4="Yes",E4,F4),"")</f>
        <v/>
      </c>
      <c r="AL4" s="288" t="str">
        <f t="shared" ref="AL4:AL15" si="14">IFERROR((($AN$22/($E$24+AK4))*R4),"")</f>
        <v/>
      </c>
      <c r="AM4" s="156" t="e">
        <f t="shared" ref="AM4:AM17" si="15">IF($Y4=0,"",RANK($AL4,$AL$4:$AL$17,1)-COUNTIF($AL$4:$AL$17,0))</f>
        <v>#DIV/0!</v>
      </c>
      <c r="AN4" s="156" t="e">
        <f>IF(AM4=1,5,IF(AM4=2,4,IF(AM4=3,3,IF(AM4=4,2,IF(AM4=5,1,0)))))+O4</f>
        <v>#DIV/0!</v>
      </c>
      <c r="AO4" s="156" t="e">
        <f>AN4+'Race #8'!AO4</f>
        <v>#DIV/0!</v>
      </c>
      <c r="AP4" s="158" t="str">
        <f t="shared" ref="AP4:AP13" si="16">B4</f>
        <v>Estella</v>
      </c>
      <c r="AQ4" s="81"/>
      <c r="AT4" s="1" t="s">
        <v>139</v>
      </c>
    </row>
    <row r="5" spans="2:46" ht="30" customHeight="1" x14ac:dyDescent="0.2">
      <c r="B5" s="65" t="str">
        <f>'2026 Applebee Finish Summary'!I6</f>
        <v>Exit Strategy</v>
      </c>
      <c r="C5" s="423" t="str">
        <f>'2026 Applebee Finish Summary'!J6</f>
        <v>J Boats J-105</v>
      </c>
      <c r="D5" s="423" t="str">
        <f>'2026 Applebee Finish Summary'!K6</f>
        <v>John Stamos/John Woods</v>
      </c>
      <c r="E5" s="46">
        <f>'Handicaps-Roster'!G7</f>
        <v>87</v>
      </c>
      <c r="F5" s="46">
        <f>'Handicaps-Roster'!H7</f>
        <v>110</v>
      </c>
      <c r="G5" s="46">
        <f>'Race #8'!AH5</f>
        <v>78</v>
      </c>
      <c r="H5" s="58" t="e">
        <f t="shared" si="0"/>
        <v>#DIV/0!</v>
      </c>
      <c r="I5" s="46" t="e">
        <f>'Race #8'!AI5</f>
        <v>#DIV/0!</v>
      </c>
      <c r="J5" s="58" t="e">
        <f t="shared" si="1"/>
        <v>#DIV/0!</v>
      </c>
      <c r="K5" s="58" t="str">
        <f t="shared" ref="K5:K17" si="17">IF(N5&gt;0,"Yes","No")</f>
        <v>No</v>
      </c>
      <c r="L5" s="334">
        <f t="shared" si="2"/>
        <v>0</v>
      </c>
      <c r="M5" s="329"/>
      <c r="N5" s="329"/>
      <c r="O5" s="34">
        <f t="shared" ref="O5:O17" si="18">IF(N5&gt;0,1,0)</f>
        <v>0</v>
      </c>
      <c r="P5" s="330" t="str">
        <f t="shared" si="3"/>
        <v/>
      </c>
      <c r="Q5" s="160">
        <f>N5-M5</f>
        <v>0</v>
      </c>
      <c r="R5" s="161">
        <f>HOUR(Q5)*3600+MINUTE(Q5)*60+SECOND(Q5)</f>
        <v>0</v>
      </c>
      <c r="S5" s="161">
        <f t="shared" si="4"/>
        <v>0</v>
      </c>
      <c r="T5" s="331" t="s">
        <v>140</v>
      </c>
      <c r="U5" s="335" t="str">
        <f t="shared" ref="U5:U14" si="19">IF(O5=1,IF(T5="No",I5,G5),"")</f>
        <v/>
      </c>
      <c r="V5" s="336">
        <f t="shared" si="5"/>
        <v>0</v>
      </c>
      <c r="W5" s="336">
        <f t="shared" si="6"/>
        <v>0</v>
      </c>
      <c r="X5" s="161">
        <f t="shared" ref="X5:X14" si="20">R5-S5+V5</f>
        <v>0</v>
      </c>
      <c r="Y5" s="34" t="e">
        <f t="shared" ref="Y5:Y14" si="21">IF(T5="Yes",R5*H5,R5*J5)</f>
        <v>#DIV/0!</v>
      </c>
      <c r="Z5" s="62" t="str">
        <f t="shared" si="7"/>
        <v/>
      </c>
      <c r="AA5" s="62" t="e">
        <f t="shared" si="8"/>
        <v>#DIV/0!</v>
      </c>
      <c r="AB5" s="169" t="e">
        <f t="shared" si="9"/>
        <v>#DIV/0!</v>
      </c>
      <c r="AC5" s="173" t="e">
        <f t="shared" si="10"/>
        <v>#DIV/0!</v>
      </c>
      <c r="AD5" s="34" t="e">
        <f t="shared" si="11"/>
        <v>#DIV/0!</v>
      </c>
      <c r="AE5" s="34" t="e">
        <f t="shared" si="12"/>
        <v>#DIV/0!</v>
      </c>
      <c r="AF5" s="34" t="e">
        <f>IF(AE5&gt;30,30,IF(AE5&lt;-30,-30,(AE5)))</f>
        <v>#DIV/0!</v>
      </c>
      <c r="AG5" s="78" t="e">
        <f t="shared" si="13"/>
        <v>#DIV/0!</v>
      </c>
      <c r="AH5" s="166">
        <f>MIN(MAX(IF(T5="Yes",G5+AG5,G5),'Handicaps-Roster'!L7),'Handicaps-Roster'!M7)</f>
        <v>78</v>
      </c>
      <c r="AI5" s="166" t="e">
        <f>MIN(MAX(IF(T5="No",I5+AG5,I5),'Handicaps-Roster'!N7),'Handicaps-Roster'!O7)</f>
        <v>#DIV/0!</v>
      </c>
      <c r="AJ5" s="174" t="e">
        <f>AC5+'Race #8'!AJ5</f>
        <v>#DIV/0!</v>
      </c>
      <c r="AK5" s="175" t="str">
        <f t="shared" ref="AK5:AK14" si="22">IF(O5=1,IF(T5="Yes",E5,F5),"")</f>
        <v/>
      </c>
      <c r="AL5" s="155" t="str">
        <f t="shared" si="14"/>
        <v/>
      </c>
      <c r="AM5" s="156" t="e">
        <f t="shared" si="15"/>
        <v>#DIV/0!</v>
      </c>
      <c r="AN5" s="156" t="e">
        <f t="shared" ref="AN5:AN14" si="23">IF(AM5=1,5,IF(AM5=2,4,IF(AM5=3,3,IF(AM5=4,2,IF(AM5=5,1,0)))))+O5</f>
        <v>#DIV/0!</v>
      </c>
      <c r="AO5" s="156" t="e">
        <f>AN5+'Race #8'!AO5</f>
        <v>#DIV/0!</v>
      </c>
      <c r="AP5" s="120" t="str">
        <f t="shared" si="16"/>
        <v>Exit Strategy</v>
      </c>
      <c r="AQ5" s="81"/>
      <c r="AT5" s="1" t="s">
        <v>140</v>
      </c>
    </row>
    <row r="6" spans="2:46" ht="30" customHeight="1" x14ac:dyDescent="0.2">
      <c r="B6" s="65" t="str">
        <f>'2026 Applebee Finish Summary'!I7</f>
        <v>Magoo</v>
      </c>
      <c r="C6" s="423" t="str">
        <f>'2026 Applebee Finish Summary'!J7</f>
        <v>Catalina 28 MK II</v>
      </c>
      <c r="D6" s="423" t="str">
        <f>'2026 Applebee Finish Summary'!K7</f>
        <v>Steve Luebkeman</v>
      </c>
      <c r="E6" s="46">
        <f>'Handicaps-Roster'!G8</f>
        <v>205</v>
      </c>
      <c r="F6" s="46">
        <f>'Handicaps-Roster'!H8</f>
        <v>208</v>
      </c>
      <c r="G6" s="46">
        <f>'Race #8'!AH6</f>
        <v>195</v>
      </c>
      <c r="H6" s="58" t="e">
        <f t="shared" si="0"/>
        <v>#DIV/0!</v>
      </c>
      <c r="I6" s="46" t="e">
        <f>'Race #8'!AI6</f>
        <v>#DIV/0!</v>
      </c>
      <c r="J6" s="58" t="e">
        <f t="shared" si="1"/>
        <v>#DIV/0!</v>
      </c>
      <c r="K6" s="58" t="str">
        <f t="shared" si="17"/>
        <v>No</v>
      </c>
      <c r="L6" s="334">
        <f t="shared" si="2"/>
        <v>0</v>
      </c>
      <c r="M6" s="329"/>
      <c r="N6" s="329"/>
      <c r="O6" s="34">
        <f t="shared" si="18"/>
        <v>0</v>
      </c>
      <c r="P6" s="337" t="str">
        <f t="shared" si="3"/>
        <v/>
      </c>
      <c r="Q6" s="160">
        <f t="shared" ref="Q6:Q14" si="24">N6-M6</f>
        <v>0</v>
      </c>
      <c r="R6" s="161">
        <f t="shared" ref="R6:R14" si="25">HOUR(Q6)*3600+MINUTE(Q6)*60+SECOND(Q6)</f>
        <v>0</v>
      </c>
      <c r="S6" s="161">
        <f t="shared" si="4"/>
        <v>0</v>
      </c>
      <c r="T6" s="331" t="s">
        <v>140</v>
      </c>
      <c r="U6" s="335" t="str">
        <f t="shared" si="19"/>
        <v/>
      </c>
      <c r="V6" s="336">
        <f t="shared" si="5"/>
        <v>0</v>
      </c>
      <c r="W6" s="336">
        <f t="shared" si="6"/>
        <v>0</v>
      </c>
      <c r="X6" s="161">
        <f t="shared" si="20"/>
        <v>0</v>
      </c>
      <c r="Y6" s="34" t="e">
        <f t="shared" si="21"/>
        <v>#DIV/0!</v>
      </c>
      <c r="Z6" s="62" t="str">
        <f t="shared" si="7"/>
        <v/>
      </c>
      <c r="AA6" s="62" t="e">
        <f t="shared" si="8"/>
        <v>#DIV/0!</v>
      </c>
      <c r="AB6" s="169" t="e">
        <f t="shared" si="9"/>
        <v>#DIV/0!</v>
      </c>
      <c r="AC6" s="173" t="e">
        <f t="shared" si="10"/>
        <v>#DIV/0!</v>
      </c>
      <c r="AD6" s="34" t="e">
        <f t="shared" si="11"/>
        <v>#DIV/0!</v>
      </c>
      <c r="AE6" s="34" t="e">
        <f t="shared" si="12"/>
        <v>#DIV/0!</v>
      </c>
      <c r="AF6" s="34" t="e">
        <f t="shared" ref="AF6:AF14" si="26">IF(AE6&gt;30,30,IF(AE6&lt;-30,-30,(AE6)))</f>
        <v>#DIV/0!</v>
      </c>
      <c r="AG6" s="78" t="e">
        <f t="shared" si="13"/>
        <v>#DIV/0!</v>
      </c>
      <c r="AH6" s="166">
        <f>MIN(MAX(IF(T6="Yes",G6+AG6,G6),'Handicaps-Roster'!L8),'Handicaps-Roster'!M8)</f>
        <v>195</v>
      </c>
      <c r="AI6" s="166" t="e">
        <f>MIN(MAX(IF(T6="No",I6+AG6,I6),'Handicaps-Roster'!N8),'Handicaps-Roster'!O8)</f>
        <v>#DIV/0!</v>
      </c>
      <c r="AJ6" s="174" t="e">
        <f>AC6+'Race #8'!AJ6</f>
        <v>#DIV/0!</v>
      </c>
      <c r="AK6" s="175" t="str">
        <f t="shared" si="22"/>
        <v/>
      </c>
      <c r="AL6" s="194" t="str">
        <f t="shared" si="14"/>
        <v/>
      </c>
      <c r="AM6" s="156" t="e">
        <f t="shared" si="15"/>
        <v>#DIV/0!</v>
      </c>
      <c r="AN6" s="156" t="e">
        <f t="shared" si="23"/>
        <v>#DIV/0!</v>
      </c>
      <c r="AO6" s="156" t="e">
        <f>AN6+'Race #8'!AO6</f>
        <v>#DIV/0!</v>
      </c>
      <c r="AP6" s="120" t="str">
        <f t="shared" si="16"/>
        <v>Magoo</v>
      </c>
      <c r="AQ6" s="81"/>
    </row>
    <row r="7" spans="2:46" ht="30" customHeight="1" x14ac:dyDescent="0.2">
      <c r="B7" s="347" t="str">
        <f>'2026 Applebee Finish Summary'!I8</f>
        <v>Feng Shui</v>
      </c>
      <c r="C7" s="422" t="str">
        <f>'2026 Applebee Finish Summary'!J8</f>
        <v>C&amp;C 34</v>
      </c>
      <c r="D7" s="422" t="str">
        <f>'2026 Applebee Finish Summary'!K8</f>
        <v>Mike Finazzo</v>
      </c>
      <c r="E7" s="162">
        <f>'Handicaps-Roster'!G9</f>
        <v>157</v>
      </c>
      <c r="F7" s="162">
        <f>'Handicaps-Roster'!H9</f>
        <v>169</v>
      </c>
      <c r="G7" s="162">
        <f>'Race #8'!AH7</f>
        <v>175.1</v>
      </c>
      <c r="H7" s="61" t="e">
        <f t="shared" si="0"/>
        <v>#DIV/0!</v>
      </c>
      <c r="I7" s="162" t="e">
        <f>'Race #8'!AI7</f>
        <v>#DIV/0!</v>
      </c>
      <c r="J7" s="61" t="e">
        <f t="shared" si="1"/>
        <v>#DIV/0!</v>
      </c>
      <c r="K7" s="61" t="str">
        <f t="shared" si="17"/>
        <v>No</v>
      </c>
      <c r="L7" s="328">
        <f t="shared" si="2"/>
        <v>0</v>
      </c>
      <c r="M7" s="329"/>
      <c r="N7" s="329"/>
      <c r="O7" s="59">
        <f t="shared" si="18"/>
        <v>0</v>
      </c>
      <c r="P7" s="337" t="str">
        <f t="shared" si="3"/>
        <v/>
      </c>
      <c r="Q7" s="163">
        <f>N7-M7</f>
        <v>0</v>
      </c>
      <c r="R7" s="164">
        <f>HOUR(Q7)*3600+MINUTE(Q7)*60+SECOND(Q7)</f>
        <v>0</v>
      </c>
      <c r="S7" s="164">
        <f t="shared" si="4"/>
        <v>0</v>
      </c>
      <c r="T7" s="331" t="s">
        <v>140</v>
      </c>
      <c r="U7" s="332" t="str">
        <f t="shared" si="19"/>
        <v/>
      </c>
      <c r="V7" s="333">
        <f t="shared" si="5"/>
        <v>0</v>
      </c>
      <c r="W7" s="333">
        <f t="shared" si="6"/>
        <v>0</v>
      </c>
      <c r="X7" s="164">
        <f t="shared" si="20"/>
        <v>0</v>
      </c>
      <c r="Y7" s="59" t="e">
        <f t="shared" si="21"/>
        <v>#DIV/0!</v>
      </c>
      <c r="Z7" s="77" t="str">
        <f t="shared" si="7"/>
        <v/>
      </c>
      <c r="AA7" s="77" t="e">
        <f t="shared" si="8"/>
        <v>#DIV/0!</v>
      </c>
      <c r="AB7" s="169" t="e">
        <f t="shared" si="9"/>
        <v>#DIV/0!</v>
      </c>
      <c r="AC7" s="173" t="e">
        <f t="shared" si="10"/>
        <v>#DIV/0!</v>
      </c>
      <c r="AD7" s="59" t="e">
        <f t="shared" si="11"/>
        <v>#DIV/0!</v>
      </c>
      <c r="AE7" s="59" t="e">
        <f t="shared" si="12"/>
        <v>#DIV/0!</v>
      </c>
      <c r="AF7" s="59" t="e">
        <f>IF(AE7&gt;30,30,IF(AE7&lt;-30,-30,(AE7)))</f>
        <v>#DIV/0!</v>
      </c>
      <c r="AG7" s="60" t="e">
        <f t="shared" si="13"/>
        <v>#DIV/0!</v>
      </c>
      <c r="AH7" s="165">
        <f>MIN(MAX(IF(T7="Yes",G7+AG7,G7),'Handicaps-Roster'!L9),'Handicaps-Roster'!M9)</f>
        <v>175.1</v>
      </c>
      <c r="AI7" s="165" t="e">
        <f>MIN(MAX(IF(T7="No",I7+AG7,I7),'Handicaps-Roster'!N9),'Handicaps-Roster'!O9)</f>
        <v>#DIV/0!</v>
      </c>
      <c r="AJ7" s="174" t="e">
        <f>AC7+'Race #8'!AJ7</f>
        <v>#DIV/0!</v>
      </c>
      <c r="AK7" s="176" t="str">
        <f t="shared" si="22"/>
        <v/>
      </c>
      <c r="AL7" s="195" t="str">
        <f t="shared" si="14"/>
        <v/>
      </c>
      <c r="AM7" s="156" t="e">
        <f t="shared" si="15"/>
        <v>#DIV/0!</v>
      </c>
      <c r="AN7" s="156" t="e">
        <f t="shared" si="23"/>
        <v>#DIV/0!</v>
      </c>
      <c r="AO7" s="156" t="e">
        <f>AN7+'Race #8'!AO7</f>
        <v>#DIV/0!</v>
      </c>
      <c r="AP7" s="158" t="str">
        <f t="shared" si="16"/>
        <v>Feng Shui</v>
      </c>
      <c r="AQ7" s="81"/>
    </row>
    <row r="8" spans="2:46" ht="30" customHeight="1" x14ac:dyDescent="0.2">
      <c r="B8" s="65" t="str">
        <f>'2026 Applebee Finish Summary'!I9</f>
        <v>Grin</v>
      </c>
      <c r="C8" s="423" t="str">
        <f>'2026 Applebee Finish Summary'!J9</f>
        <v>Ericson 32-200</v>
      </c>
      <c r="D8" s="423" t="str">
        <f>'2026 Applebee Finish Summary'!K9</f>
        <v>John Woomer</v>
      </c>
      <c r="E8" s="46">
        <f>'Handicaps-Roster'!G10</f>
        <v>165</v>
      </c>
      <c r="F8" s="46">
        <f>'Handicaps-Roster'!H10</f>
        <v>177</v>
      </c>
      <c r="G8" s="46">
        <f>'Race #8'!AH8</f>
        <v>198</v>
      </c>
      <c r="H8" s="58" t="e">
        <f t="shared" si="0"/>
        <v>#DIV/0!</v>
      </c>
      <c r="I8" s="46" t="e">
        <f>'Race #8'!AI8</f>
        <v>#DIV/0!</v>
      </c>
      <c r="J8" s="58" t="e">
        <f t="shared" si="1"/>
        <v>#DIV/0!</v>
      </c>
      <c r="K8" s="58" t="str">
        <f t="shared" si="17"/>
        <v>No</v>
      </c>
      <c r="L8" s="334">
        <f t="shared" si="2"/>
        <v>0</v>
      </c>
      <c r="M8" s="329"/>
      <c r="N8" s="329"/>
      <c r="O8" s="34">
        <f t="shared" si="18"/>
        <v>0</v>
      </c>
      <c r="P8" s="337" t="str">
        <f t="shared" si="3"/>
        <v/>
      </c>
      <c r="Q8" s="160">
        <f t="shared" si="24"/>
        <v>0</v>
      </c>
      <c r="R8" s="161">
        <f t="shared" si="25"/>
        <v>0</v>
      </c>
      <c r="S8" s="161">
        <f t="shared" si="4"/>
        <v>0</v>
      </c>
      <c r="T8" s="331" t="s">
        <v>140</v>
      </c>
      <c r="U8" s="335" t="str">
        <f t="shared" si="19"/>
        <v/>
      </c>
      <c r="V8" s="333">
        <f t="shared" si="5"/>
        <v>0</v>
      </c>
      <c r="W8" s="336">
        <f>IF(T8="Yes",(-(J8-H8)*R8),0)</f>
        <v>0</v>
      </c>
      <c r="X8" s="161">
        <f>R8-S8+V8</f>
        <v>0</v>
      </c>
      <c r="Y8" s="34" t="e">
        <f>IF(T8="Yes",R8*H8,R8*J8)</f>
        <v>#DIV/0!</v>
      </c>
      <c r="Z8" s="62" t="str">
        <f t="shared" si="7"/>
        <v/>
      </c>
      <c r="AA8" s="62" t="e">
        <f t="shared" si="8"/>
        <v>#DIV/0!</v>
      </c>
      <c r="AB8" s="169" t="e">
        <f t="shared" si="9"/>
        <v>#DIV/0!</v>
      </c>
      <c r="AC8" s="173" t="e">
        <f t="shared" si="10"/>
        <v>#DIV/0!</v>
      </c>
      <c r="AD8" s="34" t="e">
        <f t="shared" si="11"/>
        <v>#DIV/0!</v>
      </c>
      <c r="AE8" s="34" t="e">
        <f t="shared" si="12"/>
        <v>#DIV/0!</v>
      </c>
      <c r="AF8" s="34" t="e">
        <f t="shared" si="26"/>
        <v>#DIV/0!</v>
      </c>
      <c r="AG8" s="78" t="e">
        <f t="shared" si="13"/>
        <v>#DIV/0!</v>
      </c>
      <c r="AH8" s="166">
        <f>MIN(MAX(IF(T8="Yes",G8+AG8,G8),'Handicaps-Roster'!L10),'Handicaps-Roster'!M10)</f>
        <v>198</v>
      </c>
      <c r="AI8" s="166" t="e">
        <f>MIN(MAX(IF(T8="No",I8+AG8,I8),'Handicaps-Roster'!N10),'Handicaps-Roster'!O10)</f>
        <v>#DIV/0!</v>
      </c>
      <c r="AJ8" s="174" t="e">
        <f>AC8+'Race #8'!AJ8</f>
        <v>#DIV/0!</v>
      </c>
      <c r="AK8" s="175" t="str">
        <f t="shared" si="22"/>
        <v/>
      </c>
      <c r="AL8" s="194" t="str">
        <f t="shared" si="14"/>
        <v/>
      </c>
      <c r="AM8" s="156" t="e">
        <f t="shared" si="15"/>
        <v>#DIV/0!</v>
      </c>
      <c r="AN8" s="156" t="e">
        <f t="shared" si="23"/>
        <v>#DIV/0!</v>
      </c>
      <c r="AO8" s="156" t="e">
        <f>AN8+'Race #8'!AO8</f>
        <v>#DIV/0!</v>
      </c>
      <c r="AP8" s="120" t="str">
        <f t="shared" si="16"/>
        <v>Grin</v>
      </c>
      <c r="AQ8" s="81"/>
    </row>
    <row r="9" spans="2:46" ht="30" customHeight="1" x14ac:dyDescent="0.2">
      <c r="B9" s="347" t="str">
        <f>'2026 Applebee Finish Summary'!I10</f>
        <v>Kristin B II</v>
      </c>
      <c r="C9" s="422" t="str">
        <f>'2026 Applebee Finish Summary'!J10</f>
        <v>Catalina 36 TM</v>
      </c>
      <c r="D9" s="422" t="str">
        <f>'2026 Applebee Finish Summary'!K10</f>
        <v>Mike Cann</v>
      </c>
      <c r="E9" s="162">
        <f>'Handicaps-Roster'!G11</f>
        <v>154</v>
      </c>
      <c r="F9" s="162">
        <f>'Handicaps-Roster'!H11</f>
        <v>163</v>
      </c>
      <c r="G9" s="162">
        <f>'Race #8'!AH9</f>
        <v>179.3</v>
      </c>
      <c r="H9" s="61" t="e">
        <f t="shared" si="0"/>
        <v>#DIV/0!</v>
      </c>
      <c r="I9" s="162" t="e">
        <f>'Race #8'!AI9</f>
        <v>#DIV/0!</v>
      </c>
      <c r="J9" s="61" t="e">
        <f t="shared" si="1"/>
        <v>#DIV/0!</v>
      </c>
      <c r="K9" s="61" t="str">
        <f t="shared" si="17"/>
        <v>No</v>
      </c>
      <c r="L9" s="328">
        <f t="shared" si="2"/>
        <v>0</v>
      </c>
      <c r="M9" s="329"/>
      <c r="N9" s="329"/>
      <c r="O9" s="59">
        <f t="shared" si="18"/>
        <v>0</v>
      </c>
      <c r="P9" s="337" t="str">
        <f t="shared" si="3"/>
        <v/>
      </c>
      <c r="Q9" s="163">
        <f t="shared" si="24"/>
        <v>0</v>
      </c>
      <c r="R9" s="164">
        <f t="shared" si="25"/>
        <v>0</v>
      </c>
      <c r="S9" s="164">
        <f t="shared" si="4"/>
        <v>0</v>
      </c>
      <c r="T9" s="331" t="s">
        <v>140</v>
      </c>
      <c r="U9" s="332" t="str">
        <f t="shared" si="19"/>
        <v/>
      </c>
      <c r="V9" s="333">
        <f t="shared" si="5"/>
        <v>0</v>
      </c>
      <c r="W9" s="333">
        <f t="shared" ref="W9:W17" si="27">IF(T9="Yes",(-(J9-H9)*R9),0)</f>
        <v>0</v>
      </c>
      <c r="X9" s="164">
        <f>R9-S9+V9</f>
        <v>0</v>
      </c>
      <c r="Y9" s="59" t="e">
        <f t="shared" si="21"/>
        <v>#DIV/0!</v>
      </c>
      <c r="Z9" s="77" t="str">
        <f t="shared" si="7"/>
        <v/>
      </c>
      <c r="AA9" s="77" t="e">
        <f t="shared" si="8"/>
        <v>#DIV/0!</v>
      </c>
      <c r="AB9" s="169" t="e">
        <f t="shared" si="9"/>
        <v>#DIV/0!</v>
      </c>
      <c r="AC9" s="173" t="e">
        <f t="shared" si="10"/>
        <v>#DIV/0!</v>
      </c>
      <c r="AD9" s="59" t="e">
        <f t="shared" si="11"/>
        <v>#DIV/0!</v>
      </c>
      <c r="AE9" s="59" t="e">
        <f t="shared" si="12"/>
        <v>#DIV/0!</v>
      </c>
      <c r="AF9" s="59" t="e">
        <f t="shared" si="26"/>
        <v>#DIV/0!</v>
      </c>
      <c r="AG9" s="60" t="e">
        <f t="shared" si="13"/>
        <v>#DIV/0!</v>
      </c>
      <c r="AH9" s="165">
        <f>MIN(MAX(IF(T9="Yes",G9+AG9,G9),'Handicaps-Roster'!L11),'Handicaps-Roster'!M11)</f>
        <v>179.3</v>
      </c>
      <c r="AI9" s="165" t="e">
        <f>MIN(MAX(IF(T9="No",I9+AG9,I9),'Handicaps-Roster'!N11),'Handicaps-Roster'!O11)</f>
        <v>#DIV/0!</v>
      </c>
      <c r="AJ9" s="174" t="e">
        <f>AC9+'Race #8'!AJ9</f>
        <v>#DIV/0!</v>
      </c>
      <c r="AK9" s="176" t="str">
        <f t="shared" si="22"/>
        <v/>
      </c>
      <c r="AL9" s="195" t="str">
        <f t="shared" si="14"/>
        <v/>
      </c>
      <c r="AM9" s="156" t="e">
        <f t="shared" si="15"/>
        <v>#DIV/0!</v>
      </c>
      <c r="AN9" s="156" t="e">
        <f t="shared" si="23"/>
        <v>#DIV/0!</v>
      </c>
      <c r="AO9" s="156" t="e">
        <f>AN9+'Race #8'!AO9</f>
        <v>#DIV/0!</v>
      </c>
      <c r="AP9" s="158" t="str">
        <f t="shared" si="16"/>
        <v>Kristin B II</v>
      </c>
      <c r="AQ9" s="81"/>
      <c r="AR9" t="s">
        <v>334</v>
      </c>
    </row>
    <row r="10" spans="2:46" ht="30" customHeight="1" x14ac:dyDescent="0.2">
      <c r="B10" s="65" t="str">
        <f>'2026 Applebee Finish Summary'!I11</f>
        <v>MacGuffin</v>
      </c>
      <c r="C10" s="423" t="str">
        <f>'2026 Applebee Finish Summary'!J11</f>
        <v>Shock Harbor 25</v>
      </c>
      <c r="D10" s="423" t="str">
        <f>'2026 Applebee Finish Summary'!K11</f>
        <v>Darryl Rosenbaum</v>
      </c>
      <c r="E10" s="46">
        <f>'Handicaps-Roster'!G12</f>
        <v>204</v>
      </c>
      <c r="F10" s="46">
        <f>'Handicaps-Roster'!H12</f>
        <v>204</v>
      </c>
      <c r="G10" s="46">
        <f>'Race #8'!AH10</f>
        <v>204</v>
      </c>
      <c r="H10" s="58" t="e">
        <f t="shared" si="0"/>
        <v>#DIV/0!</v>
      </c>
      <c r="I10" s="46" t="e">
        <f>'Race #8'!AI10</f>
        <v>#DIV/0!</v>
      </c>
      <c r="J10" s="58" t="e">
        <f t="shared" si="1"/>
        <v>#DIV/0!</v>
      </c>
      <c r="K10" s="58" t="str">
        <f t="shared" si="17"/>
        <v>No</v>
      </c>
      <c r="L10" s="334">
        <f t="shared" si="2"/>
        <v>0</v>
      </c>
      <c r="M10" s="329"/>
      <c r="N10" s="329"/>
      <c r="O10" s="34">
        <f t="shared" si="18"/>
        <v>0</v>
      </c>
      <c r="P10" s="337" t="str">
        <f t="shared" si="3"/>
        <v/>
      </c>
      <c r="Q10" s="160">
        <f t="shared" si="24"/>
        <v>0</v>
      </c>
      <c r="R10" s="161">
        <f t="shared" si="25"/>
        <v>0</v>
      </c>
      <c r="S10" s="161">
        <f t="shared" si="4"/>
        <v>0</v>
      </c>
      <c r="T10" s="331" t="s">
        <v>140</v>
      </c>
      <c r="U10" s="335" t="str">
        <f t="shared" si="19"/>
        <v/>
      </c>
      <c r="V10" s="336">
        <f t="shared" si="5"/>
        <v>0</v>
      </c>
      <c r="W10" s="336">
        <f t="shared" si="27"/>
        <v>0</v>
      </c>
      <c r="X10" s="161">
        <f t="shared" si="20"/>
        <v>0</v>
      </c>
      <c r="Y10" s="34" t="e">
        <f t="shared" si="21"/>
        <v>#DIV/0!</v>
      </c>
      <c r="Z10" s="62" t="str">
        <f t="shared" si="7"/>
        <v/>
      </c>
      <c r="AA10" s="62" t="e">
        <f t="shared" si="8"/>
        <v>#DIV/0!</v>
      </c>
      <c r="AB10" s="169" t="e">
        <f t="shared" si="9"/>
        <v>#DIV/0!</v>
      </c>
      <c r="AC10" s="173" t="e">
        <f t="shared" si="10"/>
        <v>#DIV/0!</v>
      </c>
      <c r="AD10" s="34" t="e">
        <f t="shared" si="11"/>
        <v>#DIV/0!</v>
      </c>
      <c r="AE10" s="34" t="e">
        <f t="shared" si="12"/>
        <v>#DIV/0!</v>
      </c>
      <c r="AF10" s="34" t="e">
        <f t="shared" si="26"/>
        <v>#DIV/0!</v>
      </c>
      <c r="AG10" s="78" t="e">
        <f t="shared" si="13"/>
        <v>#DIV/0!</v>
      </c>
      <c r="AH10" s="166">
        <f>MIN(MAX(IF(T10="Yes",G10+AG10,G10),'Handicaps-Roster'!L12),'Handicaps-Roster'!M12)</f>
        <v>204</v>
      </c>
      <c r="AI10" s="166" t="e">
        <f>MIN(MAX(IF(T10="No",I10+AG10,I10),'Handicaps-Roster'!N12),'Handicaps-Roster'!O12)</f>
        <v>#DIV/0!</v>
      </c>
      <c r="AJ10" s="174" t="e">
        <f>AC10+'Race #8'!AJ10</f>
        <v>#DIV/0!</v>
      </c>
      <c r="AK10" s="175" t="str">
        <f t="shared" si="22"/>
        <v/>
      </c>
      <c r="AL10" s="194" t="str">
        <f t="shared" si="14"/>
        <v/>
      </c>
      <c r="AM10" s="156" t="e">
        <f t="shared" si="15"/>
        <v>#DIV/0!</v>
      </c>
      <c r="AN10" s="156" t="e">
        <f t="shared" si="23"/>
        <v>#DIV/0!</v>
      </c>
      <c r="AO10" s="156" t="e">
        <f>AN10+'Race #8'!AO10</f>
        <v>#DIV/0!</v>
      </c>
      <c r="AP10" s="120" t="str">
        <f t="shared" si="16"/>
        <v>MacGuffin</v>
      </c>
      <c r="AQ10" s="81"/>
    </row>
    <row r="11" spans="2:46" ht="30" customHeight="1" x14ac:dyDescent="0.2">
      <c r="B11" s="347" t="str">
        <f>'2026 Applebee Finish Summary'!I12</f>
        <v>Mirabelle</v>
      </c>
      <c r="C11" s="422" t="str">
        <f>'2026 Applebee Finish Summary'!J12</f>
        <v>Cape Dory 32</v>
      </c>
      <c r="D11" s="422" t="str">
        <f>'2026 Applebee Finish Summary'!K12</f>
        <v>Campbell McLeod</v>
      </c>
      <c r="E11" s="162">
        <f>'Handicaps-Roster'!G13</f>
        <v>204</v>
      </c>
      <c r="F11" s="162">
        <f>'Handicaps-Roster'!H13</f>
        <v>216</v>
      </c>
      <c r="G11" s="162">
        <f>'Race #8'!AH11</f>
        <v>233.5</v>
      </c>
      <c r="H11" s="61" t="e">
        <f t="shared" si="0"/>
        <v>#DIV/0!</v>
      </c>
      <c r="I11" s="162" t="e">
        <f>'Race #8'!AI11</f>
        <v>#DIV/0!</v>
      </c>
      <c r="J11" s="61" t="e">
        <f t="shared" si="1"/>
        <v>#DIV/0!</v>
      </c>
      <c r="K11" s="61" t="str">
        <f t="shared" si="17"/>
        <v>No</v>
      </c>
      <c r="L11" s="328">
        <f t="shared" si="2"/>
        <v>0</v>
      </c>
      <c r="M11" s="329"/>
      <c r="N11" s="329"/>
      <c r="O11" s="59">
        <f t="shared" si="18"/>
        <v>0</v>
      </c>
      <c r="P11" s="337" t="str">
        <f t="shared" si="3"/>
        <v/>
      </c>
      <c r="Q11" s="163">
        <f t="shared" si="24"/>
        <v>0</v>
      </c>
      <c r="R11" s="164">
        <f t="shared" si="25"/>
        <v>0</v>
      </c>
      <c r="S11" s="164">
        <f t="shared" si="4"/>
        <v>0</v>
      </c>
      <c r="T11" s="331" t="s">
        <v>140</v>
      </c>
      <c r="U11" s="332" t="str">
        <f t="shared" si="19"/>
        <v/>
      </c>
      <c r="V11" s="333">
        <f t="shared" si="5"/>
        <v>0</v>
      </c>
      <c r="W11" s="333">
        <f t="shared" si="27"/>
        <v>0</v>
      </c>
      <c r="X11" s="164">
        <f t="shared" si="20"/>
        <v>0</v>
      </c>
      <c r="Y11" s="59" t="e">
        <f t="shared" si="21"/>
        <v>#DIV/0!</v>
      </c>
      <c r="Z11" s="77" t="str">
        <f t="shared" si="7"/>
        <v/>
      </c>
      <c r="AA11" s="77" t="e">
        <f t="shared" si="8"/>
        <v>#DIV/0!</v>
      </c>
      <c r="AB11" s="169" t="e">
        <f t="shared" si="9"/>
        <v>#DIV/0!</v>
      </c>
      <c r="AC11" s="173" t="e">
        <f t="shared" si="10"/>
        <v>#DIV/0!</v>
      </c>
      <c r="AD11" s="59" t="e">
        <f t="shared" si="11"/>
        <v>#DIV/0!</v>
      </c>
      <c r="AE11" s="59" t="e">
        <f t="shared" si="12"/>
        <v>#DIV/0!</v>
      </c>
      <c r="AF11" s="59" t="e">
        <f t="shared" si="26"/>
        <v>#DIV/0!</v>
      </c>
      <c r="AG11" s="60" t="e">
        <f t="shared" si="13"/>
        <v>#DIV/0!</v>
      </c>
      <c r="AH11" s="165">
        <f>MIN(MAX(IF(T11="Yes",G11+AG11,G11),'Handicaps-Roster'!L13),'Handicaps-Roster'!M13)</f>
        <v>233.5</v>
      </c>
      <c r="AI11" s="165" t="e">
        <f>MIN(MAX(IF(T11="No",I11+AG11,I11),'Handicaps-Roster'!N13),'Handicaps-Roster'!O13)</f>
        <v>#DIV/0!</v>
      </c>
      <c r="AJ11" s="174" t="e">
        <f>AC11+'Race #8'!AJ11</f>
        <v>#DIV/0!</v>
      </c>
      <c r="AK11" s="176" t="str">
        <f t="shared" si="22"/>
        <v/>
      </c>
      <c r="AL11" s="195" t="str">
        <f t="shared" si="14"/>
        <v/>
      </c>
      <c r="AM11" s="156" t="e">
        <f t="shared" si="15"/>
        <v>#DIV/0!</v>
      </c>
      <c r="AN11" s="156" t="e">
        <f t="shared" si="23"/>
        <v>#DIV/0!</v>
      </c>
      <c r="AO11" s="156" t="e">
        <f>AN11+'Race #8'!AO11</f>
        <v>#DIV/0!</v>
      </c>
      <c r="AP11" s="158" t="str">
        <f t="shared" si="16"/>
        <v>Mirabelle</v>
      </c>
      <c r="AQ11" s="81"/>
    </row>
    <row r="12" spans="2:46" ht="30" customHeight="1" x14ac:dyDescent="0.2">
      <c r="B12" s="65" t="str">
        <f>'2026 Applebee Finish Summary'!I13</f>
        <v>Outrageous</v>
      </c>
      <c r="C12" s="423" t="str">
        <f>'2026 Applebee Finish Summary'!J13</f>
        <v>Tanzer 22</v>
      </c>
      <c r="D12" s="423" t="str">
        <f>'2026 Applebee Finish Summary'!K13</f>
        <v>Don Webb</v>
      </c>
      <c r="E12" s="46">
        <f>'Handicaps-Roster'!G14</f>
        <v>254</v>
      </c>
      <c r="F12" s="46">
        <f>'Handicaps-Roster'!H14</f>
        <v>261</v>
      </c>
      <c r="G12" s="46">
        <f>'Race #8'!AH12</f>
        <v>252.6</v>
      </c>
      <c r="H12" s="58" t="e">
        <f t="shared" si="0"/>
        <v>#DIV/0!</v>
      </c>
      <c r="I12" s="46" t="e">
        <f>'Race #8'!AI12</f>
        <v>#DIV/0!</v>
      </c>
      <c r="J12" s="58" t="e">
        <f t="shared" si="1"/>
        <v>#DIV/0!</v>
      </c>
      <c r="K12" s="58" t="str">
        <f t="shared" si="17"/>
        <v>No</v>
      </c>
      <c r="L12" s="334">
        <f t="shared" si="2"/>
        <v>0</v>
      </c>
      <c r="M12" s="329"/>
      <c r="N12" s="329"/>
      <c r="O12" s="34">
        <f t="shared" si="18"/>
        <v>0</v>
      </c>
      <c r="P12" s="337" t="str">
        <f t="shared" si="3"/>
        <v/>
      </c>
      <c r="Q12" s="160">
        <f t="shared" si="24"/>
        <v>0</v>
      </c>
      <c r="R12" s="161">
        <f t="shared" si="25"/>
        <v>0</v>
      </c>
      <c r="S12" s="161">
        <f t="shared" si="4"/>
        <v>0</v>
      </c>
      <c r="T12" s="331" t="s">
        <v>140</v>
      </c>
      <c r="U12" s="335" t="str">
        <f t="shared" si="19"/>
        <v/>
      </c>
      <c r="V12" s="336">
        <f t="shared" si="5"/>
        <v>0</v>
      </c>
      <c r="W12" s="336">
        <f t="shared" si="27"/>
        <v>0</v>
      </c>
      <c r="X12" s="161">
        <f t="shared" si="20"/>
        <v>0</v>
      </c>
      <c r="Y12" s="34" t="e">
        <f t="shared" si="21"/>
        <v>#DIV/0!</v>
      </c>
      <c r="Z12" s="62" t="str">
        <f t="shared" si="7"/>
        <v/>
      </c>
      <c r="AA12" s="62" t="e">
        <f t="shared" si="8"/>
        <v>#DIV/0!</v>
      </c>
      <c r="AB12" s="169" t="e">
        <f t="shared" si="9"/>
        <v>#DIV/0!</v>
      </c>
      <c r="AC12" s="173" t="e">
        <f t="shared" si="10"/>
        <v>#DIV/0!</v>
      </c>
      <c r="AD12" s="34" t="e">
        <f t="shared" si="11"/>
        <v>#DIV/0!</v>
      </c>
      <c r="AE12" s="34" t="e">
        <f t="shared" si="12"/>
        <v>#DIV/0!</v>
      </c>
      <c r="AF12" s="34" t="e">
        <f t="shared" si="26"/>
        <v>#DIV/0!</v>
      </c>
      <c r="AG12" s="78" t="e">
        <f t="shared" si="13"/>
        <v>#DIV/0!</v>
      </c>
      <c r="AH12" s="166">
        <f>MIN(MAX(IF(T12="Yes",G12+AG12,G12),'Handicaps-Roster'!L14),'Handicaps-Roster'!M14)</f>
        <v>252.6</v>
      </c>
      <c r="AI12" s="166" t="e">
        <f>MIN(MAX(IF(T12="No",I12+AG12,I12),'Handicaps-Roster'!N14),'Handicaps-Roster'!O14)</f>
        <v>#DIV/0!</v>
      </c>
      <c r="AJ12" s="174" t="e">
        <f>AC12+'Race #8'!AJ12</f>
        <v>#DIV/0!</v>
      </c>
      <c r="AK12" s="175" t="str">
        <f t="shared" si="22"/>
        <v/>
      </c>
      <c r="AL12" s="194" t="str">
        <f t="shared" si="14"/>
        <v/>
      </c>
      <c r="AM12" s="156" t="e">
        <f t="shared" si="15"/>
        <v>#DIV/0!</v>
      </c>
      <c r="AN12" s="156" t="e">
        <f t="shared" si="23"/>
        <v>#DIV/0!</v>
      </c>
      <c r="AO12" s="156" t="e">
        <f>AN12+'Race #8'!AO12</f>
        <v>#DIV/0!</v>
      </c>
      <c r="AP12" s="120" t="str">
        <f t="shared" si="16"/>
        <v>Outrageous</v>
      </c>
      <c r="AQ12" s="81"/>
    </row>
    <row r="13" spans="2:46" ht="30" customHeight="1" x14ac:dyDescent="0.2">
      <c r="B13" s="347" t="str">
        <f>'2026 Applebee Finish Summary'!I14</f>
        <v>Paradox</v>
      </c>
      <c r="C13" s="422" t="str">
        <f>'2026 Applebee Finish Summary'!J14</f>
        <v>J 92</v>
      </c>
      <c r="D13" s="422" t="str">
        <f>'2026 Applebee Finish Summary'!K14</f>
        <v>Glenn VanOtteren/Ted Standiford</v>
      </c>
      <c r="E13" s="162">
        <f>'Handicaps-Roster'!G15</f>
        <v>111</v>
      </c>
      <c r="F13" s="162">
        <f>'Handicaps-Roster'!H15</f>
        <v>132</v>
      </c>
      <c r="G13" s="162">
        <f>'Race #8'!AH13</f>
        <v>94.35</v>
      </c>
      <c r="H13" s="61" t="e">
        <f t="shared" si="0"/>
        <v>#DIV/0!</v>
      </c>
      <c r="I13" s="162" t="e">
        <f>'Race #8'!AI13</f>
        <v>#DIV/0!</v>
      </c>
      <c r="J13" s="61" t="e">
        <f t="shared" si="1"/>
        <v>#DIV/0!</v>
      </c>
      <c r="K13" s="61" t="str">
        <f t="shared" si="17"/>
        <v>No</v>
      </c>
      <c r="L13" s="328">
        <f t="shared" si="2"/>
        <v>0</v>
      </c>
      <c r="M13" s="329"/>
      <c r="N13" s="329"/>
      <c r="O13" s="59">
        <f t="shared" si="18"/>
        <v>0</v>
      </c>
      <c r="P13" s="337" t="str">
        <f t="shared" si="3"/>
        <v/>
      </c>
      <c r="Q13" s="163">
        <f t="shared" si="24"/>
        <v>0</v>
      </c>
      <c r="R13" s="164">
        <f t="shared" si="25"/>
        <v>0</v>
      </c>
      <c r="S13" s="164">
        <f t="shared" si="4"/>
        <v>0</v>
      </c>
      <c r="T13" s="331" t="s">
        <v>140</v>
      </c>
      <c r="U13" s="165" t="str">
        <f t="shared" si="19"/>
        <v/>
      </c>
      <c r="V13" s="333">
        <f t="shared" si="5"/>
        <v>0</v>
      </c>
      <c r="W13" s="333">
        <f t="shared" si="27"/>
        <v>0</v>
      </c>
      <c r="X13" s="164">
        <f t="shared" si="20"/>
        <v>0</v>
      </c>
      <c r="Y13" s="59" t="e">
        <f t="shared" si="21"/>
        <v>#DIV/0!</v>
      </c>
      <c r="Z13" s="77" t="str">
        <f t="shared" si="7"/>
        <v/>
      </c>
      <c r="AA13" s="77" t="e">
        <f t="shared" si="8"/>
        <v>#DIV/0!</v>
      </c>
      <c r="AB13" s="169" t="e">
        <f t="shared" si="9"/>
        <v>#DIV/0!</v>
      </c>
      <c r="AC13" s="173" t="e">
        <f t="shared" si="10"/>
        <v>#DIV/0!</v>
      </c>
      <c r="AD13" s="59" t="e">
        <f t="shared" si="11"/>
        <v>#DIV/0!</v>
      </c>
      <c r="AE13" s="59" t="e">
        <f t="shared" si="12"/>
        <v>#DIV/0!</v>
      </c>
      <c r="AF13" s="59" t="e">
        <f t="shared" si="26"/>
        <v>#DIV/0!</v>
      </c>
      <c r="AG13" s="60" t="e">
        <f t="shared" si="13"/>
        <v>#DIV/0!</v>
      </c>
      <c r="AH13" s="165">
        <f>MIN(MAX(IF(T13="Yes",G13+AG13,G13),'Handicaps-Roster'!L15),'Handicaps-Roster'!M15)</f>
        <v>94.35</v>
      </c>
      <c r="AI13" s="165" t="e">
        <f>MIN(MAX(IF(T13="No",I13+AG13,I13),'Handicaps-Roster'!N15),'Handicaps-Roster'!O15)</f>
        <v>#DIV/0!</v>
      </c>
      <c r="AJ13" s="174" t="e">
        <f>AC13+'Race #8'!AJ13</f>
        <v>#DIV/0!</v>
      </c>
      <c r="AK13" s="176" t="str">
        <f t="shared" si="22"/>
        <v/>
      </c>
      <c r="AL13" s="195" t="str">
        <f t="shared" si="14"/>
        <v/>
      </c>
      <c r="AM13" s="156" t="e">
        <f t="shared" si="15"/>
        <v>#DIV/0!</v>
      </c>
      <c r="AN13" s="156" t="e">
        <f t="shared" si="23"/>
        <v>#DIV/0!</v>
      </c>
      <c r="AO13" s="156" t="e">
        <f>AN13+'Race #8'!AO13</f>
        <v>#DIV/0!</v>
      </c>
      <c r="AP13" s="158" t="str">
        <f t="shared" si="16"/>
        <v>Paradox</v>
      </c>
      <c r="AQ13" s="81"/>
    </row>
    <row r="14" spans="2:46" ht="30" customHeight="1" x14ac:dyDescent="0.2">
      <c r="B14" s="65" t="str">
        <f>'2026 Applebee Finish Summary'!I15</f>
        <v>Pegasus</v>
      </c>
      <c r="C14" s="423" t="str">
        <f>'2026 Applebee Finish Summary'!J15</f>
        <v>Catalina 320</v>
      </c>
      <c r="D14" s="423" t="str">
        <f>'2026 Applebee Finish Summary'!K15</f>
        <v>Bill Allen</v>
      </c>
      <c r="E14" s="46">
        <f>'Handicaps-Roster'!G16</f>
        <v>162</v>
      </c>
      <c r="F14" s="46">
        <f>'Handicaps-Roster'!H16</f>
        <v>171</v>
      </c>
      <c r="G14" s="46">
        <f>'Race #8'!AH14</f>
        <v>137.69999999999999</v>
      </c>
      <c r="H14" s="58" t="e">
        <f t="shared" si="0"/>
        <v>#DIV/0!</v>
      </c>
      <c r="I14" s="46" t="e">
        <f>'Race #8'!AI14</f>
        <v>#DIV/0!</v>
      </c>
      <c r="J14" s="58" t="e">
        <f t="shared" si="1"/>
        <v>#DIV/0!</v>
      </c>
      <c r="K14" s="58" t="str">
        <f t="shared" si="17"/>
        <v>No</v>
      </c>
      <c r="L14" s="334">
        <f t="shared" si="2"/>
        <v>0</v>
      </c>
      <c r="M14" s="329"/>
      <c r="N14" s="329"/>
      <c r="O14" s="34">
        <f t="shared" si="18"/>
        <v>0</v>
      </c>
      <c r="P14" s="337" t="str">
        <f t="shared" si="3"/>
        <v/>
      </c>
      <c r="Q14" s="160">
        <f t="shared" si="24"/>
        <v>0</v>
      </c>
      <c r="R14" s="161">
        <f t="shared" si="25"/>
        <v>0</v>
      </c>
      <c r="S14" s="161">
        <f t="shared" si="4"/>
        <v>0</v>
      </c>
      <c r="T14" s="331" t="s">
        <v>140</v>
      </c>
      <c r="U14" s="335" t="str">
        <f t="shared" si="19"/>
        <v/>
      </c>
      <c r="V14" s="336">
        <f t="shared" si="5"/>
        <v>0</v>
      </c>
      <c r="W14" s="336">
        <f t="shared" si="27"/>
        <v>0</v>
      </c>
      <c r="X14" s="161">
        <f t="shared" si="20"/>
        <v>0</v>
      </c>
      <c r="Y14" s="34" t="e">
        <f t="shared" si="21"/>
        <v>#DIV/0!</v>
      </c>
      <c r="Z14" s="62" t="str">
        <f t="shared" si="7"/>
        <v/>
      </c>
      <c r="AA14" s="62" t="e">
        <f t="shared" si="8"/>
        <v>#DIV/0!</v>
      </c>
      <c r="AB14" s="169" t="e">
        <f t="shared" si="9"/>
        <v>#DIV/0!</v>
      </c>
      <c r="AC14" s="173" t="e">
        <f t="shared" si="10"/>
        <v>#DIV/0!</v>
      </c>
      <c r="AD14" s="34" t="e">
        <f t="shared" si="11"/>
        <v>#DIV/0!</v>
      </c>
      <c r="AE14" s="34" t="e">
        <f t="shared" si="12"/>
        <v>#DIV/0!</v>
      </c>
      <c r="AF14" s="34" t="e">
        <f t="shared" si="26"/>
        <v>#DIV/0!</v>
      </c>
      <c r="AG14" s="78" t="e">
        <f t="shared" si="13"/>
        <v>#DIV/0!</v>
      </c>
      <c r="AH14" s="166">
        <f>MIN(MAX(IF(T14="Yes",G14+AG14,G14),'Handicaps-Roster'!L16),'Handicaps-Roster'!M16)</f>
        <v>137.69999999999999</v>
      </c>
      <c r="AI14" s="166" t="e">
        <f>MIN(MAX(IF(T14="No",I14+AG14,I14),'Handicaps-Roster'!N16),'Handicaps-Roster'!O16)</f>
        <v>#DIV/0!</v>
      </c>
      <c r="AJ14" s="174" t="e">
        <f>AC14+'Race #8'!AJ14</f>
        <v>#DIV/0!</v>
      </c>
      <c r="AK14" s="175" t="str">
        <f t="shared" si="22"/>
        <v/>
      </c>
      <c r="AL14" s="194" t="str">
        <f t="shared" si="14"/>
        <v/>
      </c>
      <c r="AM14" s="156" t="e">
        <f t="shared" si="15"/>
        <v>#DIV/0!</v>
      </c>
      <c r="AN14" s="156" t="e">
        <f t="shared" si="23"/>
        <v>#DIV/0!</v>
      </c>
      <c r="AO14" s="156" t="e">
        <f>AN14+'Race #8'!AO14</f>
        <v>#DIV/0!</v>
      </c>
      <c r="AP14" s="120" t="str">
        <f>B14</f>
        <v>Pegasus</v>
      </c>
      <c r="AQ14" s="81"/>
    </row>
    <row r="15" spans="2:46" ht="30" customHeight="1" x14ac:dyDescent="0.2">
      <c r="B15" s="348" t="str">
        <f>'2026 Applebee Finish Summary'!I16</f>
        <v>Triton</v>
      </c>
      <c r="C15" s="424" t="str">
        <f>'2026 Applebee Finish Summary'!J16</f>
        <v>Hans Christian 43</v>
      </c>
      <c r="D15" s="424" t="str">
        <f>'2026 Applebee Finish Summary'!K16</f>
        <v>Alex Parks</v>
      </c>
      <c r="E15" s="46">
        <f>'Handicaps-Roster'!G17</f>
        <v>162</v>
      </c>
      <c r="F15" s="46">
        <f>'Handicaps-Roster'!H17</f>
        <v>177</v>
      </c>
      <c r="G15" s="46">
        <f>'Race #8'!AH15</f>
        <v>194.4</v>
      </c>
      <c r="H15" s="58" t="e">
        <f t="shared" si="0"/>
        <v>#DIV/0!</v>
      </c>
      <c r="I15" s="46" t="e">
        <f>'Race #8'!AI15</f>
        <v>#DIV/0!</v>
      </c>
      <c r="J15" s="58" t="e">
        <f t="shared" si="1"/>
        <v>#DIV/0!</v>
      </c>
      <c r="K15" s="412" t="str">
        <f t="shared" si="17"/>
        <v>No</v>
      </c>
      <c r="L15" s="334">
        <f>IF(K15="Yes",1,0)</f>
        <v>0</v>
      </c>
      <c r="M15" s="329"/>
      <c r="N15" s="329"/>
      <c r="O15" s="34">
        <f t="shared" si="18"/>
        <v>0</v>
      </c>
      <c r="P15" s="337" t="str">
        <f t="shared" si="3"/>
        <v/>
      </c>
      <c r="Q15" s="160">
        <f>N15-M15</f>
        <v>0</v>
      </c>
      <c r="R15" s="161">
        <f>HOUR(Q15)*3600+MINUTE(Q15)*60+SECOND(Q15)</f>
        <v>0</v>
      </c>
      <c r="S15" s="161">
        <f t="shared" si="4"/>
        <v>0</v>
      </c>
      <c r="T15" s="331" t="s">
        <v>140</v>
      </c>
      <c r="U15" s="335" t="str">
        <f>IF(O15=1,IF(T15="No",I15,G15),"")</f>
        <v/>
      </c>
      <c r="V15" s="336">
        <f t="shared" si="5"/>
        <v>0</v>
      </c>
      <c r="W15" s="336">
        <f t="shared" si="27"/>
        <v>0</v>
      </c>
      <c r="X15" s="161">
        <f>R15-S15+V15</f>
        <v>0</v>
      </c>
      <c r="Y15" s="34" t="e">
        <f>IF(T15="Yes",R15*H15,R15*J15)</f>
        <v>#DIV/0!</v>
      </c>
      <c r="Z15" s="62" t="str">
        <f t="shared" si="7"/>
        <v/>
      </c>
      <c r="AA15" s="62" t="e">
        <f t="shared" si="8"/>
        <v>#DIV/0!</v>
      </c>
      <c r="AB15" s="169" t="e">
        <f t="shared" si="9"/>
        <v>#DIV/0!</v>
      </c>
      <c r="AC15" s="173" t="e">
        <f t="shared" si="10"/>
        <v>#DIV/0!</v>
      </c>
      <c r="AD15" s="34" t="e">
        <f t="shared" si="11"/>
        <v>#DIV/0!</v>
      </c>
      <c r="AE15" s="34" t="e">
        <f t="shared" si="12"/>
        <v>#DIV/0!</v>
      </c>
      <c r="AF15" s="34" t="e">
        <f>IF(AE15&gt;30,30,IF(AE15&lt;-30,-30,(AE15)))</f>
        <v>#DIV/0!</v>
      </c>
      <c r="AG15" s="78" t="e">
        <f t="shared" si="13"/>
        <v>#DIV/0!</v>
      </c>
      <c r="AH15" s="166">
        <f>MIN(MAX(IF(T15="Yes",G15+AG15,G15),'Handicaps-Roster'!L17),'Handicaps-Roster'!M17)</f>
        <v>194.4</v>
      </c>
      <c r="AI15" s="166" t="e">
        <f>MIN(MAX(IF(T15="No",I15+AG15,I15),'Handicaps-Roster'!N17),'Handicaps-Roster'!O17)</f>
        <v>#DIV/0!</v>
      </c>
      <c r="AJ15" s="174" t="e">
        <f>AC15+'Race #8'!AJ15</f>
        <v>#DIV/0!</v>
      </c>
      <c r="AK15" s="175" t="str">
        <f>IF(O15=1,IF(T15="Yes",E15,F15),"")</f>
        <v/>
      </c>
      <c r="AL15" s="194" t="str">
        <f t="shared" si="14"/>
        <v/>
      </c>
      <c r="AM15" s="156" t="e">
        <f t="shared" si="15"/>
        <v>#DIV/0!</v>
      </c>
      <c r="AN15" s="156" t="e">
        <f>IF(AM15=1,5,IF(AM15=2,4,IF(AM15=3,3,IF(AM15=4,2,IF(AM15=5,1,0)))))+O15</f>
        <v>#DIV/0!</v>
      </c>
      <c r="AO15" s="156" t="e">
        <f>AN15+'Race #8'!AO15</f>
        <v>#DIV/0!</v>
      </c>
      <c r="AP15" s="120" t="str">
        <f>B15</f>
        <v>Triton</v>
      </c>
      <c r="AQ15" s="81"/>
    </row>
    <row r="16" spans="2:46" ht="30" customHeight="1" x14ac:dyDescent="0.2">
      <c r="B16" s="349" t="str">
        <f>'2026 Applebee Finish Summary'!I17</f>
        <v>Lone Gull</v>
      </c>
      <c r="C16" s="425" t="str">
        <f>'2026 Applebee Finish Summary'!J17</f>
        <v>Cal 20</v>
      </c>
      <c r="D16" s="425" t="str">
        <f>'2026 Applebee Finish Summary'!K17</f>
        <v>Kevin Savage</v>
      </c>
      <c r="E16" s="162">
        <f>'Handicaps-Roster'!G18</f>
        <v>280</v>
      </c>
      <c r="F16" s="162">
        <f>'Handicaps-Roster'!H18</f>
        <v>288</v>
      </c>
      <c r="G16" s="162">
        <f>'Race #8'!AH16</f>
        <v>280</v>
      </c>
      <c r="H16" s="61" t="e">
        <f t="shared" ref="H16:H17" si="28">$E$31/($E$24+G16)</f>
        <v>#DIV/0!</v>
      </c>
      <c r="I16" s="162" t="e">
        <f>'Race #8'!AI16</f>
        <v>#DIV/0!</v>
      </c>
      <c r="J16" s="61" t="e">
        <f t="shared" ref="J16:J17" si="29">$E$31/($E$24+I16)</f>
        <v>#DIV/0!</v>
      </c>
      <c r="K16" s="414" t="str">
        <f t="shared" si="17"/>
        <v>No</v>
      </c>
      <c r="L16" s="328">
        <f t="shared" ref="L16:L17" si="30">IF(K16="Yes",1,0)</f>
        <v>0</v>
      </c>
      <c r="M16" s="329"/>
      <c r="N16" s="329"/>
      <c r="O16" s="59">
        <f t="shared" si="18"/>
        <v>0</v>
      </c>
      <c r="P16" s="337" t="str">
        <f t="shared" si="3"/>
        <v/>
      </c>
      <c r="Q16" s="163">
        <f t="shared" ref="Q16:Q17" si="31">N16-M16</f>
        <v>0</v>
      </c>
      <c r="R16" s="164">
        <f t="shared" ref="R16:R17" si="32">HOUR(Q16)*3600+MINUTE(Q16)*60+SECOND(Q16)</f>
        <v>0</v>
      </c>
      <c r="S16" s="164">
        <f t="shared" ref="S16:S17" si="33">IF(N16&gt;0,($I16*$E$20),0)</f>
        <v>0</v>
      </c>
      <c r="T16" s="331" t="s">
        <v>140</v>
      </c>
      <c r="U16" s="332" t="str">
        <f t="shared" ref="U16:U17" si="34">IF(O16=1,IF(T16="No",I16,G16),"")</f>
        <v/>
      </c>
      <c r="V16" s="333">
        <f t="shared" si="5"/>
        <v>0</v>
      </c>
      <c r="W16" s="333">
        <f t="shared" si="27"/>
        <v>0</v>
      </c>
      <c r="X16" s="164">
        <f t="shared" ref="X16:X17" si="35">R16-S16+V16</f>
        <v>0</v>
      </c>
      <c r="Y16" s="59" t="e">
        <f t="shared" ref="Y16:Y17" si="36">IF(T16="Yes",R16*H16,R16*J16)</f>
        <v>#DIV/0!</v>
      </c>
      <c r="Z16" s="77" t="str">
        <f t="shared" si="7"/>
        <v/>
      </c>
      <c r="AA16" s="77" t="e">
        <f t="shared" si="8"/>
        <v>#DIV/0!</v>
      </c>
      <c r="AB16" s="169" t="e">
        <f t="shared" ref="AB16:AB17" si="37">IF($E$21="Yes",Z16,AA16)</f>
        <v>#DIV/0!</v>
      </c>
      <c r="AC16" s="173" t="e">
        <f t="shared" ref="AC16:AC17" si="38">IF($E$21="Yes",IF(Z16=1,5,IF(Z16=2,4,IF(Z16=3,3,IF(Z16=4,2,IF(Z16=5,1,0))))),IF(AA16=1,5,IF(AA16=2,4,IF(AA16=3,3,IF(AA16=4,2,IF(AA16=5,1,0))))))+L16</f>
        <v>#DIV/0!</v>
      </c>
      <c r="AD16" s="59" t="e">
        <f t="shared" ref="AD16:AD17" si="39">Y16/$E$20</f>
        <v>#DIV/0!</v>
      </c>
      <c r="AE16" s="59" t="e">
        <f t="shared" ref="AE16:AE17" si="40">IF(AD16&gt;0,((Y16/$E$20)-$E$29),0)</f>
        <v>#DIV/0!</v>
      </c>
      <c r="AF16" s="59" t="e">
        <f t="shared" ref="AF16:AF17" si="41">IF(AE16&gt;30,30,IF(AE16&lt;-30,-30,(AE16)))</f>
        <v>#DIV/0!</v>
      </c>
      <c r="AG16" s="60" t="e">
        <f t="shared" ref="AG16:AG17" si="42">AF16*$E$22</f>
        <v>#DIV/0!</v>
      </c>
      <c r="AH16" s="165">
        <f>MIN(MAX(IF(T16="Yes",G16+AG16,G16),'Handicaps-Roster'!L18),'Handicaps-Roster'!M18)</f>
        <v>280</v>
      </c>
      <c r="AI16" s="165" t="e">
        <f>MIN(MAX(IF(T16="No",I16+AG16,I16),'Handicaps-Roster'!N18),'Handicaps-Roster'!O18)</f>
        <v>#DIV/0!</v>
      </c>
      <c r="AJ16" s="174" t="e">
        <f>AC16+'Race #8'!AJ16</f>
        <v>#DIV/0!</v>
      </c>
      <c r="AK16" s="176" t="str">
        <f t="shared" ref="AK16:AK17" si="43">IF(O16=1,IF(T16="Yes",E16,F16),"")</f>
        <v/>
      </c>
      <c r="AL16" s="195" t="str">
        <f t="shared" ref="AL16:AL17" si="44">IFERROR((($AN$22/($E$24+AK16))*R16),"")</f>
        <v/>
      </c>
      <c r="AM16" s="156" t="e">
        <f t="shared" si="15"/>
        <v>#DIV/0!</v>
      </c>
      <c r="AN16" s="156" t="e">
        <f t="shared" ref="AN16:AN17" si="45">IF(AM16=1,5,IF(AM16=2,4,IF(AM16=3,3,IF(AM16=4,2,IF(AM16=5,1,0)))))+O16</f>
        <v>#DIV/0!</v>
      </c>
      <c r="AO16" s="156" t="e">
        <f>AN16+'Race #8'!AO16</f>
        <v>#DIV/0!</v>
      </c>
      <c r="AP16" s="158" t="str">
        <f t="shared" ref="AP16:AP17" si="46">B16</f>
        <v>Lone Gull</v>
      </c>
      <c r="AQ16" s="81"/>
    </row>
    <row r="17" spans="2:43" ht="30" customHeight="1" thickBot="1" x14ac:dyDescent="0.25">
      <c r="B17" s="396">
        <f>'2026 Applebee Finish Summary'!I18</f>
        <v>0</v>
      </c>
      <c r="C17" s="426">
        <f>'2026 Applebee Finish Summary'!J18</f>
        <v>0</v>
      </c>
      <c r="D17" s="426">
        <f>'2026 Applebee Finish Summary'!K18</f>
        <v>0</v>
      </c>
      <c r="E17" s="275">
        <f>'Handicaps-Roster'!G19</f>
        <v>0</v>
      </c>
      <c r="F17" s="275">
        <f>'Handicaps-Roster'!H19</f>
        <v>0</v>
      </c>
      <c r="G17" s="275">
        <f>'Race #8'!AH17</f>
        <v>0</v>
      </c>
      <c r="H17" s="276" t="e">
        <f t="shared" si="28"/>
        <v>#DIV/0!</v>
      </c>
      <c r="I17" s="275" t="e">
        <f>'Race #8'!AI17</f>
        <v>#DIV/0!</v>
      </c>
      <c r="J17" s="276" t="e">
        <f t="shared" si="29"/>
        <v>#DIV/0!</v>
      </c>
      <c r="K17" s="413" t="str">
        <f t="shared" si="17"/>
        <v>No</v>
      </c>
      <c r="L17" s="342">
        <f t="shared" si="30"/>
        <v>0</v>
      </c>
      <c r="M17" s="338"/>
      <c r="N17" s="338"/>
      <c r="O17" s="277">
        <f t="shared" si="18"/>
        <v>0</v>
      </c>
      <c r="P17" s="339" t="str">
        <f t="shared" si="3"/>
        <v/>
      </c>
      <c r="Q17" s="278">
        <f t="shared" si="31"/>
        <v>0</v>
      </c>
      <c r="R17" s="279">
        <f t="shared" si="32"/>
        <v>0</v>
      </c>
      <c r="S17" s="279">
        <f t="shared" si="33"/>
        <v>0</v>
      </c>
      <c r="T17" s="340" t="s">
        <v>140</v>
      </c>
      <c r="U17" s="395" t="str">
        <f t="shared" si="34"/>
        <v/>
      </c>
      <c r="V17" s="343">
        <f t="shared" si="5"/>
        <v>0</v>
      </c>
      <c r="W17" s="343">
        <f t="shared" si="27"/>
        <v>0</v>
      </c>
      <c r="X17" s="279">
        <f t="shared" si="35"/>
        <v>0</v>
      </c>
      <c r="Y17" s="277" t="e">
        <f t="shared" si="36"/>
        <v>#DIV/0!</v>
      </c>
      <c r="Z17" s="280" t="str">
        <f t="shared" si="7"/>
        <v/>
      </c>
      <c r="AA17" s="280" t="e">
        <f t="shared" si="8"/>
        <v>#DIV/0!</v>
      </c>
      <c r="AB17" s="171" t="e">
        <f t="shared" si="37"/>
        <v>#DIV/0!</v>
      </c>
      <c r="AC17" s="177" t="e">
        <f t="shared" si="38"/>
        <v>#DIV/0!</v>
      </c>
      <c r="AD17" s="277" t="e">
        <f t="shared" si="39"/>
        <v>#DIV/0!</v>
      </c>
      <c r="AE17" s="277" t="e">
        <f t="shared" si="40"/>
        <v>#DIV/0!</v>
      </c>
      <c r="AF17" s="277" t="e">
        <f t="shared" si="41"/>
        <v>#DIV/0!</v>
      </c>
      <c r="AG17" s="281" t="e">
        <f t="shared" si="42"/>
        <v>#DIV/0!</v>
      </c>
      <c r="AH17" s="282">
        <f>MIN(MAX(IF(T17="Yes",G17+AG17,G17),'Handicaps-Roster'!L19),'Handicaps-Roster'!M19)</f>
        <v>0</v>
      </c>
      <c r="AI17" s="282" t="e">
        <f>MIN(MAX(IF(T17="No",I17+AG17,I17),'Handicaps-Roster'!N19),'Handicaps-Roster'!O19)</f>
        <v>#DIV/0!</v>
      </c>
      <c r="AJ17" s="178" t="e">
        <f>AC17+'Race #8'!AJ17</f>
        <v>#DIV/0!</v>
      </c>
      <c r="AK17" s="287" t="str">
        <f t="shared" si="43"/>
        <v/>
      </c>
      <c r="AL17" s="286" t="str">
        <f t="shared" si="44"/>
        <v/>
      </c>
      <c r="AM17" s="157" t="e">
        <f t="shared" si="15"/>
        <v>#DIV/0!</v>
      </c>
      <c r="AN17" s="157" t="e">
        <f t="shared" si="45"/>
        <v>#DIV/0!</v>
      </c>
      <c r="AO17" s="157" t="e">
        <f>AN17+'Race #8'!AO17</f>
        <v>#DIV/0!</v>
      </c>
      <c r="AP17" s="284">
        <f t="shared" si="46"/>
        <v>0</v>
      </c>
      <c r="AQ17" s="81"/>
    </row>
    <row r="18" spans="2:43" ht="30" customHeight="1" x14ac:dyDescent="0.2">
      <c r="AO18" s="81"/>
    </row>
    <row r="19" spans="2:43" ht="16" thickBot="1" x14ac:dyDescent="0.25">
      <c r="B19" s="4"/>
      <c r="E19" s="5"/>
      <c r="F19" s="11"/>
      <c r="G19" s="5"/>
      <c r="H19" s="11"/>
      <c r="I19" s="11"/>
      <c r="J19" s="11"/>
      <c r="K19" s="11"/>
      <c r="L19" s="11"/>
      <c r="M19" s="11"/>
      <c r="N19" s="13"/>
      <c r="O19" s="13"/>
      <c r="P19" s="11"/>
      <c r="Q19" s="11"/>
      <c r="R19" s="11"/>
      <c r="S19" s="8"/>
      <c r="T19" s="89" t="s">
        <v>146</v>
      </c>
      <c r="U19" s="11"/>
      <c r="V19" s="11"/>
      <c r="W19" s="13"/>
      <c r="X19" s="13"/>
      <c r="Y19" s="18"/>
      <c r="Z19" s="18"/>
      <c r="AA19" s="13"/>
      <c r="AB19" s="13"/>
      <c r="AC19" s="89" t="s">
        <v>186</v>
      </c>
      <c r="AD19" s="13"/>
      <c r="AE19" s="15"/>
      <c r="AF19" s="16"/>
      <c r="AG19" s="11"/>
      <c r="AH19" s="11"/>
      <c r="AI19" s="5"/>
    </row>
    <row r="20" spans="2:43" ht="18" customHeight="1" x14ac:dyDescent="0.35">
      <c r="D20" s="87" t="s">
        <v>141</v>
      </c>
      <c r="E20" s="86">
        <f>Z30</f>
        <v>0</v>
      </c>
      <c r="G20" s="481" t="s">
        <v>142</v>
      </c>
      <c r="H20" s="482"/>
      <c r="I20" s="511" t="s">
        <v>102</v>
      </c>
      <c r="J20" s="482"/>
      <c r="K20" s="516" t="s">
        <v>143</v>
      </c>
      <c r="L20" s="493"/>
      <c r="M20" s="516" t="s">
        <v>144</v>
      </c>
      <c r="N20" s="491"/>
      <c r="P20" s="531" t="s">
        <v>145</v>
      </c>
      <c r="Q20" s="532"/>
      <c r="U20" s="89" t="s">
        <v>147</v>
      </c>
      <c r="W20" s="89" t="s">
        <v>148</v>
      </c>
      <c r="Z20" s="233" t="s">
        <v>149</v>
      </c>
      <c r="AK20" s="521" t="s">
        <v>150</v>
      </c>
      <c r="AL20" s="500"/>
      <c r="AM20" s="500"/>
      <c r="AN20" s="501"/>
    </row>
    <row r="21" spans="2:43" ht="18" customHeight="1" x14ac:dyDescent="0.2">
      <c r="D21" s="87" t="s">
        <v>151</v>
      </c>
      <c r="E21" s="24" t="s">
        <v>140</v>
      </c>
      <c r="G21" s="477" t="str">
        <f>IF($E$27&gt;0,"First Place","")</f>
        <v/>
      </c>
      <c r="H21" s="478"/>
      <c r="I21" s="483" t="str">
        <f>IF($E$27&gt;0,VLOOKUP(1,$AB$4:$AP$17,15,FALSE),"")</f>
        <v/>
      </c>
      <c r="J21" s="484"/>
      <c r="K21" s="514" t="str">
        <f t="shared" ref="K21:K32" si="47">IFERROR(VLOOKUP(I21,$B$4:$Y$17,24,0)-_xlfn.MINIFS($Y$4:$Y$17,$Y$4:$Y$17,"&gt;0"),"")</f>
        <v/>
      </c>
      <c r="L21" s="515"/>
      <c r="M21" s="514" t="str">
        <f t="shared" ref="M21:M32" si="48">IFERROR(VLOOKUP(I21,$B$4:$X$17,23,0)-_xlfn.MINIFS($X$4:$X$17,$X$4:$X$17,"&gt;0"),"")</f>
        <v/>
      </c>
      <c r="N21" s="517"/>
      <c r="P21" s="115" t="s">
        <v>93</v>
      </c>
      <c r="Q21" s="115" t="s">
        <v>152</v>
      </c>
      <c r="U21" s="30" t="s">
        <v>333</v>
      </c>
      <c r="V21" s="30"/>
      <c r="W21" s="1" t="s">
        <v>194</v>
      </c>
      <c r="Z21" s="232">
        <v>1.5206531730678814</v>
      </c>
      <c r="AK21" s="147" t="s">
        <v>153</v>
      </c>
      <c r="AL21" s="148"/>
      <c r="AM21" s="148"/>
      <c r="AN21" s="154" t="e">
        <f>SUM(AK4:AK17)/E27</f>
        <v>#DIV/0!</v>
      </c>
    </row>
    <row r="22" spans="2:43" ht="18" customHeight="1" x14ac:dyDescent="0.2">
      <c r="D22" s="87" t="s">
        <v>154</v>
      </c>
      <c r="E22" s="250">
        <v>0.1</v>
      </c>
      <c r="G22" s="477" t="str">
        <f>IF(E27&gt;1,"Second Place","")</f>
        <v/>
      </c>
      <c r="H22" s="478"/>
      <c r="I22" s="483" t="str">
        <f>IF($E$27&gt;1,VLOOKUP(2,$AB$4:$AP$17,15,FALSE),"")</f>
        <v/>
      </c>
      <c r="J22" s="484"/>
      <c r="K22" s="514" t="str">
        <f t="shared" si="47"/>
        <v/>
      </c>
      <c r="L22" s="515"/>
      <c r="M22" s="514" t="str">
        <f t="shared" si="48"/>
        <v/>
      </c>
      <c r="N22" s="517"/>
      <c r="P22" s="116">
        <v>2</v>
      </c>
      <c r="Q22" s="117">
        <v>1</v>
      </c>
      <c r="U22" s="430" t="s">
        <v>193</v>
      </c>
      <c r="V22" s="430"/>
      <c r="W22" s="430"/>
      <c r="X22" s="107"/>
      <c r="Y22" s="107"/>
      <c r="Z22" s="429"/>
      <c r="AA22" s="148"/>
      <c r="AB22" s="148"/>
      <c r="AK22" s="147" t="s">
        <v>155</v>
      </c>
      <c r="AL22" s="148"/>
      <c r="AM22" s="148"/>
      <c r="AN22" s="154" t="e">
        <f>AN21+E24</f>
        <v>#DIV/0!</v>
      </c>
    </row>
    <row r="23" spans="2:43" ht="18" customHeight="1" thickBot="1" x14ac:dyDescent="0.25">
      <c r="D23" s="87" t="s">
        <v>156</v>
      </c>
      <c r="E23" s="94" t="s">
        <v>157</v>
      </c>
      <c r="G23" s="477" t="str">
        <f>IF(E27&gt;2,"Third Place","")</f>
        <v/>
      </c>
      <c r="H23" s="478"/>
      <c r="I23" s="483" t="str">
        <f>IF($E$27&gt;2,VLOOKUP(3,$AB$4:$AP$17,15,FALSE),"")</f>
        <v/>
      </c>
      <c r="J23" s="484"/>
      <c r="K23" s="514" t="str">
        <f t="shared" si="47"/>
        <v/>
      </c>
      <c r="L23" s="515"/>
      <c r="M23" s="514" t="str">
        <f t="shared" si="48"/>
        <v/>
      </c>
      <c r="N23" s="517"/>
      <c r="P23" s="118">
        <v>3</v>
      </c>
      <c r="Q23" s="108">
        <v>2</v>
      </c>
      <c r="U23" s="430"/>
      <c r="V23" s="430"/>
      <c r="W23" s="430"/>
      <c r="X23" s="107"/>
      <c r="Y23" s="107"/>
      <c r="Z23" s="429"/>
      <c r="AA23" s="148"/>
      <c r="AB23" s="148"/>
      <c r="AK23" s="149" t="s">
        <v>158</v>
      </c>
      <c r="AL23" s="150"/>
      <c r="AM23" s="150"/>
      <c r="AN23" s="152" t="e">
        <f>AN22/(AN21+E24)</f>
        <v>#DIV/0!</v>
      </c>
    </row>
    <row r="24" spans="2:43" ht="18" customHeight="1" x14ac:dyDescent="0.2">
      <c r="D24" s="87" t="s">
        <v>159</v>
      </c>
      <c r="E24" s="249">
        <f>VLOOKUP(E23,I36:K38,3,0)</f>
        <v>550</v>
      </c>
      <c r="G24" s="477" t="str">
        <f>IF(E27&gt;3,"Fourth Place","")</f>
        <v/>
      </c>
      <c r="H24" s="478"/>
      <c r="I24" s="483" t="str">
        <f>IF($E$27&gt;3,VLOOKUP(4,$AB$4:$AP$17,15,FALSE),"")</f>
        <v/>
      </c>
      <c r="J24" s="484"/>
      <c r="K24" s="514" t="str">
        <f t="shared" si="47"/>
        <v/>
      </c>
      <c r="L24" s="515"/>
      <c r="M24" s="514" t="str">
        <f t="shared" si="48"/>
        <v/>
      </c>
      <c r="N24" s="517"/>
      <c r="P24" s="118">
        <v>4</v>
      </c>
      <c r="Q24" s="108">
        <v>2</v>
      </c>
      <c r="U24" s="430"/>
      <c r="V24" s="430"/>
      <c r="W24" s="430"/>
      <c r="X24" s="107"/>
      <c r="Y24" s="107"/>
      <c r="Z24" s="429"/>
      <c r="AA24" s="148"/>
      <c r="AB24" s="148"/>
      <c r="AC24" t="s">
        <v>335</v>
      </c>
    </row>
    <row r="25" spans="2:43" ht="18" customHeight="1" x14ac:dyDescent="0.2">
      <c r="D25" s="95"/>
      <c r="E25" s="96"/>
      <c r="G25" s="477" t="str">
        <f>IF(E27&gt;4,"Fifth Place","")</f>
        <v/>
      </c>
      <c r="H25" s="478"/>
      <c r="I25" s="483" t="str">
        <f>IF($E$27&gt;4,VLOOKUP(5,$AB$4:$AP$17,15,FALSE),"")</f>
        <v/>
      </c>
      <c r="J25" s="484"/>
      <c r="K25" s="514" t="str">
        <f t="shared" si="47"/>
        <v/>
      </c>
      <c r="L25" s="515"/>
      <c r="M25" s="514" t="str">
        <f t="shared" si="48"/>
        <v/>
      </c>
      <c r="N25" s="517"/>
      <c r="P25" s="118">
        <v>5</v>
      </c>
      <c r="Q25" s="108">
        <v>2</v>
      </c>
      <c r="U25" s="430"/>
      <c r="V25" s="430"/>
      <c r="W25" s="430"/>
      <c r="X25" s="107"/>
      <c r="Y25" s="107"/>
      <c r="Z25" s="429"/>
      <c r="AA25" s="148"/>
      <c r="AB25" s="148"/>
    </row>
    <row r="26" spans="2:43" ht="18" customHeight="1" x14ac:dyDescent="0.2">
      <c r="D26" s="87" t="s">
        <v>160</v>
      </c>
      <c r="E26" s="23">
        <f>SUM(L4:L17)</f>
        <v>0</v>
      </c>
      <c r="G26" s="477" t="str">
        <f>IF($E$27&gt;5,"Sixth Place","")</f>
        <v/>
      </c>
      <c r="H26" s="478"/>
      <c r="I26" s="483" t="str">
        <f>IF($E$27&gt;5,VLOOKUP(6,$AB$4:$AP$17,15,FALSE),"")</f>
        <v/>
      </c>
      <c r="J26" s="484"/>
      <c r="K26" s="514" t="str">
        <f t="shared" si="47"/>
        <v/>
      </c>
      <c r="L26" s="515"/>
      <c r="M26" s="514" t="str">
        <f t="shared" si="48"/>
        <v/>
      </c>
      <c r="N26" s="517"/>
      <c r="P26" s="118">
        <v>6</v>
      </c>
      <c r="Q26" s="108">
        <v>3</v>
      </c>
      <c r="U26" s="430"/>
      <c r="V26" s="430"/>
      <c r="W26" s="430"/>
      <c r="X26" s="107"/>
      <c r="Y26" s="107"/>
      <c r="Z26" s="429"/>
      <c r="AA26" s="148"/>
      <c r="AB26" s="148"/>
    </row>
    <row r="27" spans="2:43" ht="18" customHeight="1" x14ac:dyDescent="0.2">
      <c r="D27" s="87" t="s">
        <v>161</v>
      </c>
      <c r="E27" s="23">
        <f>SUM(O4:O17)</f>
        <v>0</v>
      </c>
      <c r="G27" s="477" t="str">
        <f>IF($E$27&gt;6,"Seventh Place","")</f>
        <v/>
      </c>
      <c r="H27" s="478"/>
      <c r="I27" s="483" t="str">
        <f>IF($E$27&gt;6,VLOOKUP(7,$AB$4:$AP$17,15,FALSE),"")</f>
        <v/>
      </c>
      <c r="J27" s="484"/>
      <c r="K27" s="514" t="str">
        <f t="shared" si="47"/>
        <v/>
      </c>
      <c r="L27" s="515"/>
      <c r="M27" s="514" t="str">
        <f t="shared" si="48"/>
        <v/>
      </c>
      <c r="N27" s="517"/>
      <c r="P27" s="118">
        <v>7</v>
      </c>
      <c r="Q27" s="108">
        <v>3</v>
      </c>
      <c r="U27" s="430"/>
      <c r="V27" s="430"/>
      <c r="W27" s="430"/>
      <c r="X27" s="107"/>
      <c r="Y27" s="107"/>
      <c r="Z27" s="429"/>
      <c r="AA27" s="148"/>
      <c r="AB27" s="148"/>
    </row>
    <row r="28" spans="2:43" ht="18" customHeight="1" x14ac:dyDescent="0.2">
      <c r="D28" s="87" t="s">
        <v>162</v>
      </c>
      <c r="E28" s="25" t="e">
        <f>VLOOKUP(E27,P22:Q32,2,FALSE)</f>
        <v>#N/A</v>
      </c>
      <c r="G28" s="477" t="str">
        <f>IF(E27&gt;7,"Eighth Place","")</f>
        <v/>
      </c>
      <c r="H28" s="478"/>
      <c r="I28" s="483" t="str">
        <f>IF($E$27&gt;7,VLOOKUP(8,$AB$4:$AP$17,15,FALSE),"")</f>
        <v/>
      </c>
      <c r="J28" s="484"/>
      <c r="K28" s="514" t="str">
        <f t="shared" si="47"/>
        <v/>
      </c>
      <c r="L28" s="515"/>
      <c r="M28" s="514" t="str">
        <f t="shared" si="48"/>
        <v/>
      </c>
      <c r="N28" s="517"/>
      <c r="P28" s="118">
        <v>8</v>
      </c>
      <c r="Q28" s="108">
        <v>3</v>
      </c>
      <c r="U28" s="430"/>
      <c r="V28" s="430"/>
      <c r="W28" s="430"/>
      <c r="X28" s="107"/>
      <c r="Y28" s="107"/>
      <c r="Z28" s="429"/>
      <c r="AA28" s="148"/>
      <c r="AB28" s="148"/>
    </row>
    <row r="29" spans="2:43" ht="18" customHeight="1" x14ac:dyDescent="0.2">
      <c r="D29" s="87" t="s">
        <v>163</v>
      </c>
      <c r="E29" s="26" t="e">
        <f>VLOOKUP(E28,AA4:AD17,4,FALSE)</f>
        <v>#N/A</v>
      </c>
      <c r="G29" s="477" t="str">
        <f>IF(E27&gt;8,"Ninth Place","")</f>
        <v/>
      </c>
      <c r="H29" s="478"/>
      <c r="I29" s="483" t="str">
        <f>IF($E$27&gt;8,VLOOKUP(9,$AB$4:$AP$17,15,FALSE),"")</f>
        <v/>
      </c>
      <c r="J29" s="484"/>
      <c r="K29" s="514" t="str">
        <f t="shared" si="47"/>
        <v/>
      </c>
      <c r="L29" s="515"/>
      <c r="M29" s="514" t="str">
        <f t="shared" si="48"/>
        <v/>
      </c>
      <c r="N29" s="517"/>
      <c r="P29" s="118">
        <v>9</v>
      </c>
      <c r="Q29" s="108">
        <v>4</v>
      </c>
      <c r="U29" s="430"/>
      <c r="V29" s="430"/>
      <c r="W29" s="430"/>
      <c r="X29" s="107"/>
      <c r="Y29" s="107"/>
      <c r="Z29" s="429"/>
      <c r="AA29" s="148"/>
      <c r="AB29" s="148"/>
    </row>
    <row r="30" spans="2:43" ht="18" customHeight="1" x14ac:dyDescent="0.2">
      <c r="D30" s="87" t="s">
        <v>153</v>
      </c>
      <c r="E30" s="181" t="e">
        <f>SUM(U4:U17)/E27</f>
        <v>#DIV/0!</v>
      </c>
      <c r="G30" s="477" t="str">
        <f>IF(E27&gt;9,"Tenth Place","")</f>
        <v/>
      </c>
      <c r="H30" s="478"/>
      <c r="I30" s="483" t="str">
        <f>IF($E$27&gt;9,VLOOKUP(10,$AB$4:$AP$17,15,FALSE),"")</f>
        <v/>
      </c>
      <c r="J30" s="484"/>
      <c r="K30" s="514" t="str">
        <f t="shared" si="47"/>
        <v/>
      </c>
      <c r="L30" s="515"/>
      <c r="M30" s="514" t="str">
        <f t="shared" si="48"/>
        <v/>
      </c>
      <c r="N30" s="517"/>
      <c r="P30" s="118">
        <v>10</v>
      </c>
      <c r="Q30" s="108">
        <v>4</v>
      </c>
      <c r="U30" s="148"/>
      <c r="V30" s="148"/>
      <c r="W30" s="430"/>
      <c r="X30" s="107"/>
      <c r="Y30" s="88" t="s">
        <v>164</v>
      </c>
      <c r="Z30" s="429">
        <f>SUM(Z22:Z26)</f>
        <v>0</v>
      </c>
      <c r="AA30" s="148"/>
      <c r="AB30" s="148"/>
    </row>
    <row r="31" spans="2:43" ht="18" customHeight="1" x14ac:dyDescent="0.2">
      <c r="D31" s="87" t="s">
        <v>155</v>
      </c>
      <c r="E31" s="434" t="e">
        <f>E24+E30</f>
        <v>#DIV/0!</v>
      </c>
      <c r="G31" s="477" t="str">
        <f>IF(E27&gt;10,"Eleventh Place","")</f>
        <v/>
      </c>
      <c r="H31" s="478"/>
      <c r="I31" s="483" t="str">
        <f>IF($E$27&gt;10,VLOOKUP(11,$AB$4:$AP$17,15,FALSE),"")</f>
        <v/>
      </c>
      <c r="J31" s="484"/>
      <c r="K31" s="514" t="str">
        <f t="shared" si="47"/>
        <v/>
      </c>
      <c r="L31" s="515"/>
      <c r="M31" s="514" t="str">
        <f t="shared" si="48"/>
        <v/>
      </c>
      <c r="N31" s="517"/>
      <c r="P31" s="118">
        <v>11</v>
      </c>
      <c r="Q31" s="108">
        <v>4</v>
      </c>
      <c r="W31" s="30"/>
    </row>
    <row r="32" spans="2:43" ht="18" customHeight="1" thickBot="1" x14ac:dyDescent="0.25">
      <c r="D32" s="87" t="s">
        <v>158</v>
      </c>
      <c r="E32" s="418" t="e">
        <f>E31/(E24+E30)</f>
        <v>#DIV/0!</v>
      </c>
      <c r="G32" s="479" t="str">
        <f>IF(E27&gt;11,"Twelth Place","")</f>
        <v/>
      </c>
      <c r="H32" s="480"/>
      <c r="I32" s="494" t="str">
        <f>IF($E$27&gt;11,VLOOKUP(12,$AB$4:$AP$17,15,FALSE),"")</f>
        <v/>
      </c>
      <c r="J32" s="495"/>
      <c r="K32" s="523" t="str">
        <f t="shared" si="47"/>
        <v/>
      </c>
      <c r="L32" s="525"/>
      <c r="M32" s="523" t="str">
        <f t="shared" si="48"/>
        <v/>
      </c>
      <c r="N32" s="524"/>
      <c r="P32" s="119">
        <v>12</v>
      </c>
      <c r="Q32" s="111">
        <v>5</v>
      </c>
      <c r="W32" s="30"/>
    </row>
    <row r="33" spans="4:36" ht="18" customHeight="1" x14ac:dyDescent="0.2"/>
    <row r="34" spans="4:36" ht="18" customHeight="1" x14ac:dyDescent="0.2">
      <c r="D34" s="87" t="s">
        <v>352</v>
      </c>
      <c r="E34" s="416">
        <f>_xlfn.MINIFS(Q4:Q17,Q4:Q17,"&gt;0")*86400</f>
        <v>0</v>
      </c>
      <c r="I34" s="505" t="s">
        <v>165</v>
      </c>
      <c r="J34" s="506"/>
      <c r="K34" s="507"/>
    </row>
    <row r="35" spans="4:36" x14ac:dyDescent="0.2">
      <c r="I35" s="97" t="s">
        <v>166</v>
      </c>
      <c r="J35" s="93" t="s">
        <v>167</v>
      </c>
      <c r="K35" s="98" t="s">
        <v>168</v>
      </c>
    </row>
    <row r="36" spans="4:36" x14ac:dyDescent="0.2">
      <c r="D36" s="88" t="s">
        <v>169</v>
      </c>
      <c r="E36" s="47" t="str">
        <f>IF(E21="Yes","Distance","Time")</f>
        <v>Time</v>
      </c>
      <c r="I36" s="106" t="s">
        <v>170</v>
      </c>
      <c r="J36" s="107" t="s">
        <v>171</v>
      </c>
      <c r="K36" s="108">
        <v>600</v>
      </c>
      <c r="T36" s="4"/>
    </row>
    <row r="37" spans="4:36" x14ac:dyDescent="0.2">
      <c r="D37" s="2" t="s">
        <v>172</v>
      </c>
      <c r="I37" s="106" t="s">
        <v>157</v>
      </c>
      <c r="J37" s="126" t="s">
        <v>173</v>
      </c>
      <c r="K37" s="108">
        <v>550</v>
      </c>
    </row>
    <row r="38" spans="4:36" x14ac:dyDescent="0.2">
      <c r="D38" s="2"/>
      <c r="I38" s="109" t="s">
        <v>174</v>
      </c>
      <c r="J38" s="110" t="s">
        <v>175</v>
      </c>
      <c r="K38" s="111">
        <v>480</v>
      </c>
    </row>
    <row r="39" spans="4:36" x14ac:dyDescent="0.2">
      <c r="D39" s="2"/>
    </row>
    <row r="41" spans="4:36" x14ac:dyDescent="0.2">
      <c r="AJ41" s="1"/>
    </row>
    <row r="42" spans="4:36" x14ac:dyDescent="0.2">
      <c r="D42" s="2"/>
    </row>
    <row r="43" spans="4:36" x14ac:dyDescent="0.2">
      <c r="D43" s="2"/>
    </row>
    <row r="44" spans="4:36" x14ac:dyDescent="0.2">
      <c r="D44" s="2"/>
    </row>
  </sheetData>
  <mergeCells count="57">
    <mergeCell ref="U2:AJ2"/>
    <mergeCell ref="AK20:AN20"/>
    <mergeCell ref="AK2:AO2"/>
    <mergeCell ref="I25:J25"/>
    <mergeCell ref="I34:K34"/>
    <mergeCell ref="M32:N32"/>
    <mergeCell ref="M27:N27"/>
    <mergeCell ref="M28:N28"/>
    <mergeCell ref="M29:N29"/>
    <mergeCell ref="M30:N30"/>
    <mergeCell ref="M31:N31"/>
    <mergeCell ref="K32:L32"/>
    <mergeCell ref="I31:J31"/>
    <mergeCell ref="K27:L27"/>
    <mergeCell ref="K28:L28"/>
    <mergeCell ref="K29:L29"/>
    <mergeCell ref="K30:L30"/>
    <mergeCell ref="K31:L31"/>
    <mergeCell ref="I32:J32"/>
    <mergeCell ref="I26:J26"/>
    <mergeCell ref="I27:J27"/>
    <mergeCell ref="I28:J28"/>
    <mergeCell ref="I29:J29"/>
    <mergeCell ref="I30:J30"/>
    <mergeCell ref="P20:Q20"/>
    <mergeCell ref="K23:L23"/>
    <mergeCell ref="K24:L24"/>
    <mergeCell ref="K25:L25"/>
    <mergeCell ref="K26:L26"/>
    <mergeCell ref="M20:N20"/>
    <mergeCell ref="M21:N21"/>
    <mergeCell ref="M22:N22"/>
    <mergeCell ref="M23:N23"/>
    <mergeCell ref="M24:N24"/>
    <mergeCell ref="M25:N25"/>
    <mergeCell ref="M26:N26"/>
    <mergeCell ref="K20:L20"/>
    <mergeCell ref="K21:L21"/>
    <mergeCell ref="K22:L22"/>
    <mergeCell ref="G20:H20"/>
    <mergeCell ref="I22:J22"/>
    <mergeCell ref="I23:J23"/>
    <mergeCell ref="I24:J24"/>
    <mergeCell ref="G21:H21"/>
    <mergeCell ref="G22:H22"/>
    <mergeCell ref="G23:H23"/>
    <mergeCell ref="G24:H24"/>
    <mergeCell ref="I20:J20"/>
    <mergeCell ref="I21:J21"/>
    <mergeCell ref="G30:H30"/>
    <mergeCell ref="G31:H31"/>
    <mergeCell ref="G32:H32"/>
    <mergeCell ref="G25:H25"/>
    <mergeCell ref="G26:H26"/>
    <mergeCell ref="G27:H27"/>
    <mergeCell ref="G28:H28"/>
    <mergeCell ref="G29:H29"/>
  </mergeCells>
  <conditionalFormatting sqref="P4:P17">
    <cfRule type="cellIs" dxfId="5" priority="3" operator="equal">
      <formula>1</formula>
    </cfRule>
  </conditionalFormatting>
  <conditionalFormatting sqref="T4:U12 T13 T14:U17">
    <cfRule type="cellIs" dxfId="4" priority="1" operator="equal">
      <formula>"Yes"</formula>
    </cfRule>
  </conditionalFormatting>
  <dataValidations count="2">
    <dataValidation type="list" allowBlank="1" showInputMessage="1" showErrorMessage="1" sqref="E21 E25 K4:K17 T4:T17" xr:uid="{CCD8A389-67F4-F149-980C-8B1C23554C90}">
      <formula1>$AT$4:$AT$5</formula1>
    </dataValidation>
    <dataValidation type="list" allowBlank="1" showInputMessage="1" showErrorMessage="1" sqref="E23" xr:uid="{0C235AF7-EF5C-4EDD-B76D-D752E55C5F16}">
      <formula1>$I$36:$I$38</formula1>
    </dataValidation>
  </dataValidations>
  <printOptions horizontalCentered="1"/>
  <pageMargins left="0.7" right="0.7" top="0.75" bottom="0.75" header="0.3" footer="0.3"/>
  <pageSetup paperSize="9" scale="49" fitToWidth="2"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0E5A-194E-D846-932D-CBA748B29E12}">
  <sheetPr>
    <pageSetUpPr fitToPage="1"/>
  </sheetPr>
  <dimension ref="B1:AT44"/>
  <sheetViews>
    <sheetView zoomScaleNormal="100" workbookViewId="0">
      <selection activeCell="T25" sqref="T25"/>
    </sheetView>
  </sheetViews>
  <sheetFormatPr baseColWidth="10" defaultColWidth="8.83203125" defaultRowHeight="15" x14ac:dyDescent="0.2"/>
  <cols>
    <col min="1" max="1" width="2.83203125" customWidth="1"/>
    <col min="2" max="2" width="12.33203125" customWidth="1"/>
    <col min="3" max="3" width="16.5" customWidth="1"/>
    <col min="4" max="4" width="32" customWidth="1"/>
    <col min="5" max="14" width="10.83203125" customWidth="1"/>
    <col min="15" max="15" width="10.83203125" style="1" customWidth="1"/>
    <col min="16" max="22" width="10.83203125" customWidth="1"/>
    <col min="23" max="26" width="10.83203125" style="1" customWidth="1"/>
    <col min="27" max="41" width="10.83203125" customWidth="1"/>
    <col min="42" max="42" width="16.83203125" customWidth="1"/>
    <col min="43" max="43" width="3.6640625" customWidth="1"/>
    <col min="44" max="44" width="17.5" customWidth="1"/>
    <col min="46" max="46" width="0" hidden="1" customWidth="1"/>
  </cols>
  <sheetData>
    <row r="1" spans="2:46" ht="15" customHeight="1" thickBot="1" x14ac:dyDescent="0.25"/>
    <row r="2" spans="2:46" ht="15" customHeight="1" thickBot="1" x14ac:dyDescent="0.25">
      <c r="B2" s="28" t="s">
        <v>198</v>
      </c>
      <c r="C2" s="17"/>
      <c r="D2" s="17"/>
      <c r="E2" s="17"/>
      <c r="F2" s="17"/>
      <c r="G2" s="17"/>
      <c r="H2" s="17"/>
      <c r="I2" s="17"/>
      <c r="L2" s="17"/>
      <c r="M2" s="17"/>
      <c r="N2" s="17"/>
      <c r="O2" s="29"/>
      <c r="P2" s="17"/>
      <c r="Q2" s="17"/>
      <c r="R2" s="17"/>
      <c r="S2" s="124"/>
      <c r="T2" s="17"/>
      <c r="U2" s="518" t="s">
        <v>0</v>
      </c>
      <c r="V2" s="519"/>
      <c r="W2" s="519"/>
      <c r="X2" s="519"/>
      <c r="Y2" s="519"/>
      <c r="Z2" s="519"/>
      <c r="AA2" s="519"/>
      <c r="AB2" s="519"/>
      <c r="AC2" s="519"/>
      <c r="AD2" s="519"/>
      <c r="AE2" s="519"/>
      <c r="AF2" s="519"/>
      <c r="AG2" s="519"/>
      <c r="AH2" s="519"/>
      <c r="AI2" s="519"/>
      <c r="AJ2" s="520"/>
      <c r="AK2" s="522" t="s">
        <v>1</v>
      </c>
      <c r="AL2" s="503"/>
      <c r="AM2" s="503"/>
      <c r="AN2" s="503"/>
      <c r="AO2" s="504"/>
    </row>
    <row r="3" spans="2:46" s="22" customFormat="1" ht="80" x14ac:dyDescent="0.2">
      <c r="B3" s="315" t="s">
        <v>9</v>
      </c>
      <c r="C3" s="316" t="s">
        <v>10</v>
      </c>
      <c r="D3" s="316" t="s">
        <v>104</v>
      </c>
      <c r="E3" s="317" t="s">
        <v>105</v>
      </c>
      <c r="F3" s="317" t="s">
        <v>106</v>
      </c>
      <c r="G3" s="318" t="s">
        <v>107</v>
      </c>
      <c r="H3" s="319" t="s">
        <v>108</v>
      </c>
      <c r="I3" s="318" t="s">
        <v>109</v>
      </c>
      <c r="J3" s="319" t="s">
        <v>110</v>
      </c>
      <c r="K3" s="319" t="s">
        <v>111</v>
      </c>
      <c r="L3" s="319" t="s">
        <v>112</v>
      </c>
      <c r="M3" s="319" t="s">
        <v>113</v>
      </c>
      <c r="N3" s="319" t="s">
        <v>114</v>
      </c>
      <c r="O3" s="317" t="s">
        <v>115</v>
      </c>
      <c r="P3" s="320" t="s">
        <v>116</v>
      </c>
      <c r="Q3" s="319" t="s">
        <v>117</v>
      </c>
      <c r="R3" s="319" t="s">
        <v>118</v>
      </c>
      <c r="S3" s="319" t="s">
        <v>119</v>
      </c>
      <c r="T3" s="317" t="s">
        <v>120</v>
      </c>
      <c r="U3" s="317" t="s">
        <v>279</v>
      </c>
      <c r="V3" s="321" t="s">
        <v>121</v>
      </c>
      <c r="W3" s="322" t="s">
        <v>122</v>
      </c>
      <c r="X3" s="321" t="s">
        <v>123</v>
      </c>
      <c r="Y3" s="323" t="s">
        <v>124</v>
      </c>
      <c r="Z3" s="324" t="s">
        <v>125</v>
      </c>
      <c r="AA3" s="323" t="s">
        <v>126</v>
      </c>
      <c r="AB3" s="325" t="s">
        <v>127</v>
      </c>
      <c r="AC3" s="325" t="s">
        <v>128</v>
      </c>
      <c r="AD3" s="326" t="s">
        <v>129</v>
      </c>
      <c r="AE3" s="326" t="s">
        <v>130</v>
      </c>
      <c r="AF3" s="326" t="s">
        <v>131</v>
      </c>
      <c r="AG3" s="326" t="s">
        <v>132</v>
      </c>
      <c r="AH3" s="326" t="s">
        <v>133</v>
      </c>
      <c r="AI3" s="326" t="s">
        <v>134</v>
      </c>
      <c r="AJ3" s="325" t="s">
        <v>135</v>
      </c>
      <c r="AK3" s="323" t="s">
        <v>279</v>
      </c>
      <c r="AL3" s="323" t="s">
        <v>124</v>
      </c>
      <c r="AM3" s="323" t="s">
        <v>126</v>
      </c>
      <c r="AN3" s="323" t="s">
        <v>136</v>
      </c>
      <c r="AO3" s="323" t="s">
        <v>137</v>
      </c>
      <c r="AP3" s="327" t="str">
        <f>B3</f>
        <v>Yacht Name</v>
      </c>
      <c r="AQ3" s="79"/>
      <c r="AR3" s="79" t="s">
        <v>138</v>
      </c>
    </row>
    <row r="4" spans="2:46" ht="30" customHeight="1" x14ac:dyDescent="0.2">
      <c r="B4" s="347" t="str">
        <f>'2026 Applebee Finish Summary'!I5</f>
        <v>Estella</v>
      </c>
      <c r="C4" s="422" t="str">
        <f>'2026 Applebee Finish Summary'!J5</f>
        <v>Saffier 33</v>
      </c>
      <c r="D4" s="422" t="str">
        <f>'2026 Applebee Finish Summary'!K5</f>
        <v>Doug Kilgren</v>
      </c>
      <c r="E4" s="162">
        <f>'Handicaps-Roster'!G6</f>
        <v>90</v>
      </c>
      <c r="F4" s="162">
        <f>'Handicaps-Roster'!H6</f>
        <v>110</v>
      </c>
      <c r="G4" s="162">
        <f>'Race #9'!AH4</f>
        <v>90</v>
      </c>
      <c r="H4" s="61" t="e">
        <f t="shared" ref="H4:H15" si="0">$E$31/($E$24+G4)</f>
        <v>#DIV/0!</v>
      </c>
      <c r="I4" s="162" t="e">
        <f>'Race #9'!AI4</f>
        <v>#DIV/0!</v>
      </c>
      <c r="J4" s="61" t="e">
        <f t="shared" ref="J4:J15" si="1">$E$31/($E$24+I4)</f>
        <v>#DIV/0!</v>
      </c>
      <c r="K4" s="61" t="str">
        <f>IF(N4&gt;0,"Yes","No")</f>
        <v>No</v>
      </c>
      <c r="L4" s="328">
        <f t="shared" ref="L4:L14" si="2">IF(K4="Yes",1,0)</f>
        <v>0</v>
      </c>
      <c r="M4" s="329"/>
      <c r="N4" s="329"/>
      <c r="O4" s="59">
        <f>IF(N4&gt;0,1,0)</f>
        <v>0</v>
      </c>
      <c r="P4" s="330" t="str">
        <f t="shared" ref="P4:P17" si="3">IF($N4=0,"",RANK($N4,$N$4:$N$17,1)-COUNTIF($N$4:$N$17,0))</f>
        <v/>
      </c>
      <c r="Q4" s="163">
        <f>N4-M4</f>
        <v>0</v>
      </c>
      <c r="R4" s="164">
        <f>HOUR(Q4)*3600+MINUTE(Q4)*60+SECOND(Q4)</f>
        <v>0</v>
      </c>
      <c r="S4" s="164">
        <f t="shared" ref="S4:S15" si="4">IF(N4&gt;0,($I4*$E$20),0)</f>
        <v>0</v>
      </c>
      <c r="T4" s="331" t="s">
        <v>140</v>
      </c>
      <c r="U4" s="332" t="str">
        <f>IF(O4=1,IF(T4="No",I4,G4),"")</f>
        <v/>
      </c>
      <c r="V4" s="333">
        <f t="shared" ref="V4:V17" si="5">IF(T4="Yes",((I4-G4)*$E$20),0)</f>
        <v>0</v>
      </c>
      <c r="W4" s="333">
        <f t="shared" ref="W4:W7" si="6">IF(T4="Yes",(-(J4-H4)*R4),0)</f>
        <v>0</v>
      </c>
      <c r="X4" s="164">
        <f>R4-S4+V4</f>
        <v>0</v>
      </c>
      <c r="Y4" s="59" t="e">
        <f>IF(T4="Yes",R4*H4,R4*J4)</f>
        <v>#DIV/0!</v>
      </c>
      <c r="Z4" s="77" t="str">
        <f t="shared" ref="Z4:Z17" si="7">IF($X4=0,"",RANK($X4,$X$4:$X$17,1)-COUNTIF($X$4:$X$17,0))</f>
        <v/>
      </c>
      <c r="AA4" s="77" t="e">
        <f t="shared" ref="AA4:AA17" si="8">IF($Y4=0,"",RANK($Y4,$Y$4:$Y$17,1)-COUNTIF($Y$4:$Y$17,0))</f>
        <v>#DIV/0!</v>
      </c>
      <c r="AB4" s="169" t="str">
        <f t="shared" ref="AB4:AB15" si="9">IF($E$21="Yes",Z4,AA4)</f>
        <v/>
      </c>
      <c r="AC4" s="173">
        <f t="shared" ref="AC4:AC15" si="10">IF($E$21="Yes",IF(Z4=1,5,IF(Z4=2,4,IF(Z4=3,3,IF(Z4=4,2,IF(Z4=5,1,0))))),IF(AA4=1,5,IF(AA4=2,4,IF(AA4=3,3,IF(AA4=4,2,IF(AA4=5,1,0))))))+L4</f>
        <v>0</v>
      </c>
      <c r="AD4" s="59" t="e">
        <f t="shared" ref="AD4:AD15" si="11">Y4/$E$20</f>
        <v>#DIV/0!</v>
      </c>
      <c r="AE4" s="59" t="e">
        <f t="shared" ref="AE4:AE15" si="12">IF(AD4&gt;0,((Y4/$E$20)-$E$29),0)</f>
        <v>#DIV/0!</v>
      </c>
      <c r="AF4" s="59" t="e">
        <f>IF(AE4&gt;30,30,IF(AE4&lt;-30,-30,(AE4)))</f>
        <v>#DIV/0!</v>
      </c>
      <c r="AG4" s="60" t="e">
        <f t="shared" ref="AG4:AG15" si="13">AF4*$E$22</f>
        <v>#DIV/0!</v>
      </c>
      <c r="AH4" s="165">
        <f>MIN(MAX(IF(T4="Yes",G4+AG4,G4),'Handicaps-Roster'!L6),'Handicaps-Roster'!M6)</f>
        <v>90</v>
      </c>
      <c r="AI4" s="165" t="e">
        <f>MIN(MAX(IF(T4="No",I4+AG4,I4),'Handicaps-Roster'!N6),'Handicaps-Roster'!O6)</f>
        <v>#DIV/0!</v>
      </c>
      <c r="AJ4" s="174" t="e">
        <f>AC4+'Race #9'!AJ4</f>
        <v>#DIV/0!</v>
      </c>
      <c r="AK4" s="176" t="str">
        <f>IF(O4=1,IF(T4="Yes",E4,F4),"")</f>
        <v/>
      </c>
      <c r="AL4" s="288" t="str">
        <f t="shared" ref="AL4:AL15" si="14">IFERROR((($AN$22/($E$24+AK4))*R4),"")</f>
        <v/>
      </c>
      <c r="AM4" s="156" t="e">
        <f t="shared" ref="AM4:AM17" si="15">IF($Y4=0,"",RANK($AL4,$AL$4:$AL$17,1)-COUNTIF($AL$4:$AL$17,0))</f>
        <v>#DIV/0!</v>
      </c>
      <c r="AN4" s="156" t="e">
        <f>IF(AM4=1,5,IF(AM4=2,4,IF(AM4=3,3,IF(AM4=4,2,IF(AM4=5,1,0)))))+O4</f>
        <v>#DIV/0!</v>
      </c>
      <c r="AO4" s="156" t="e">
        <f>AN4+'Race #9'!AO4</f>
        <v>#DIV/0!</v>
      </c>
      <c r="AP4" s="158" t="str">
        <f t="shared" ref="AP4:AP13" si="16">B4</f>
        <v>Estella</v>
      </c>
      <c r="AQ4" s="81"/>
      <c r="AT4" s="1" t="s">
        <v>139</v>
      </c>
    </row>
    <row r="5" spans="2:46" ht="30" customHeight="1" x14ac:dyDescent="0.2">
      <c r="B5" s="65" t="str">
        <f>'2026 Applebee Finish Summary'!I6</f>
        <v>Exit Strategy</v>
      </c>
      <c r="C5" s="423" t="str">
        <f>'2026 Applebee Finish Summary'!J6</f>
        <v>J Boats J-105</v>
      </c>
      <c r="D5" s="423" t="str">
        <f>'2026 Applebee Finish Summary'!K6</f>
        <v>John Stamos/John Woods</v>
      </c>
      <c r="E5" s="46">
        <f>'Handicaps-Roster'!G7</f>
        <v>87</v>
      </c>
      <c r="F5" s="46">
        <f>'Handicaps-Roster'!H7</f>
        <v>110</v>
      </c>
      <c r="G5" s="46">
        <f>'Race #9'!AH5</f>
        <v>78</v>
      </c>
      <c r="H5" s="58" t="e">
        <f t="shared" si="0"/>
        <v>#DIV/0!</v>
      </c>
      <c r="I5" s="46" t="e">
        <f>'Race #9'!AI5</f>
        <v>#DIV/0!</v>
      </c>
      <c r="J5" s="58" t="e">
        <f t="shared" si="1"/>
        <v>#DIV/0!</v>
      </c>
      <c r="K5" s="58" t="str">
        <f t="shared" ref="K5:K17" si="17">IF(N5&gt;0,"Yes","No")</f>
        <v>No</v>
      </c>
      <c r="L5" s="334">
        <f t="shared" si="2"/>
        <v>0</v>
      </c>
      <c r="M5" s="329"/>
      <c r="N5" s="329"/>
      <c r="O5" s="34">
        <f t="shared" ref="O5:O17" si="18">IF(N5&gt;0,1,0)</f>
        <v>0</v>
      </c>
      <c r="P5" s="330" t="str">
        <f t="shared" si="3"/>
        <v/>
      </c>
      <c r="Q5" s="160">
        <f>N5-M5</f>
        <v>0</v>
      </c>
      <c r="R5" s="161">
        <f>HOUR(Q5)*3600+MINUTE(Q5)*60+SECOND(Q5)</f>
        <v>0</v>
      </c>
      <c r="S5" s="161">
        <f t="shared" si="4"/>
        <v>0</v>
      </c>
      <c r="T5" s="331" t="s">
        <v>140</v>
      </c>
      <c r="U5" s="335" t="str">
        <f t="shared" ref="U5:U14" si="19">IF(O5=1,IF(T5="No",I5,G5),"")</f>
        <v/>
      </c>
      <c r="V5" s="336">
        <f t="shared" si="5"/>
        <v>0</v>
      </c>
      <c r="W5" s="336">
        <f t="shared" si="6"/>
        <v>0</v>
      </c>
      <c r="X5" s="161">
        <f t="shared" ref="X5:X14" si="20">R5-S5+V5</f>
        <v>0</v>
      </c>
      <c r="Y5" s="34" t="e">
        <f t="shared" ref="Y5:Y14" si="21">IF(T5="Yes",R5*H5,R5*J5)</f>
        <v>#DIV/0!</v>
      </c>
      <c r="Z5" s="62" t="str">
        <f t="shared" si="7"/>
        <v/>
      </c>
      <c r="AA5" s="62" t="e">
        <f t="shared" si="8"/>
        <v>#DIV/0!</v>
      </c>
      <c r="AB5" s="169" t="str">
        <f t="shared" si="9"/>
        <v/>
      </c>
      <c r="AC5" s="173">
        <f t="shared" si="10"/>
        <v>0</v>
      </c>
      <c r="AD5" s="34" t="e">
        <f t="shared" si="11"/>
        <v>#DIV/0!</v>
      </c>
      <c r="AE5" s="34" t="e">
        <f t="shared" si="12"/>
        <v>#DIV/0!</v>
      </c>
      <c r="AF5" s="34" t="e">
        <f>IF(AE5&gt;30,30,IF(AE5&lt;-30,-30,(AE5)))</f>
        <v>#DIV/0!</v>
      </c>
      <c r="AG5" s="78" t="e">
        <f t="shared" si="13"/>
        <v>#DIV/0!</v>
      </c>
      <c r="AH5" s="166">
        <f>MIN(MAX(IF(T5="Yes",G5+AG5,G5),'Handicaps-Roster'!L7),'Handicaps-Roster'!M7)</f>
        <v>78</v>
      </c>
      <c r="AI5" s="166" t="e">
        <f>MIN(MAX(IF(T5="No",I5+AG5,I5),'Handicaps-Roster'!N7),'Handicaps-Roster'!O7)</f>
        <v>#DIV/0!</v>
      </c>
      <c r="AJ5" s="174" t="e">
        <f>AC5+'Race #9'!AJ5</f>
        <v>#DIV/0!</v>
      </c>
      <c r="AK5" s="175" t="str">
        <f t="shared" ref="AK5:AK14" si="22">IF(O5=1,IF(T5="Yes",E5,F5),"")</f>
        <v/>
      </c>
      <c r="AL5" s="155" t="str">
        <f t="shared" si="14"/>
        <v/>
      </c>
      <c r="AM5" s="156" t="e">
        <f t="shared" si="15"/>
        <v>#DIV/0!</v>
      </c>
      <c r="AN5" s="156" t="e">
        <f t="shared" ref="AN5:AN14" si="23">IF(AM5=1,5,IF(AM5=2,4,IF(AM5=3,3,IF(AM5=4,2,IF(AM5=5,1,0)))))+O5</f>
        <v>#DIV/0!</v>
      </c>
      <c r="AO5" s="156" t="e">
        <f>AN5+'Race #9'!AO5</f>
        <v>#DIV/0!</v>
      </c>
      <c r="AP5" s="120" t="str">
        <f t="shared" si="16"/>
        <v>Exit Strategy</v>
      </c>
      <c r="AQ5" s="81"/>
      <c r="AT5" s="1" t="s">
        <v>140</v>
      </c>
    </row>
    <row r="6" spans="2:46" ht="30" customHeight="1" x14ac:dyDescent="0.2">
      <c r="B6" s="65" t="str">
        <f>'2026 Applebee Finish Summary'!I7</f>
        <v>Magoo</v>
      </c>
      <c r="C6" s="423" t="str">
        <f>'2026 Applebee Finish Summary'!J7</f>
        <v>Catalina 28 MK II</v>
      </c>
      <c r="D6" s="423" t="str">
        <f>'2026 Applebee Finish Summary'!K7</f>
        <v>Steve Luebkeman</v>
      </c>
      <c r="E6" s="46">
        <f>'Handicaps-Roster'!G8</f>
        <v>205</v>
      </c>
      <c r="F6" s="46">
        <f>'Handicaps-Roster'!H8</f>
        <v>208</v>
      </c>
      <c r="G6" s="46">
        <f>'Race #9'!AH6</f>
        <v>195</v>
      </c>
      <c r="H6" s="58" t="e">
        <f t="shared" si="0"/>
        <v>#DIV/0!</v>
      </c>
      <c r="I6" s="46" t="e">
        <f>'Race #9'!AI6</f>
        <v>#DIV/0!</v>
      </c>
      <c r="J6" s="58" t="e">
        <f t="shared" si="1"/>
        <v>#DIV/0!</v>
      </c>
      <c r="K6" s="58" t="str">
        <f t="shared" si="17"/>
        <v>No</v>
      </c>
      <c r="L6" s="334">
        <f t="shared" si="2"/>
        <v>0</v>
      </c>
      <c r="M6" s="329"/>
      <c r="N6" s="329"/>
      <c r="O6" s="34">
        <f t="shared" si="18"/>
        <v>0</v>
      </c>
      <c r="P6" s="337" t="str">
        <f t="shared" si="3"/>
        <v/>
      </c>
      <c r="Q6" s="160">
        <f t="shared" ref="Q6:Q14" si="24">N6-M6</f>
        <v>0</v>
      </c>
      <c r="R6" s="161">
        <f t="shared" ref="R6:R14" si="25">HOUR(Q6)*3600+MINUTE(Q6)*60+SECOND(Q6)</f>
        <v>0</v>
      </c>
      <c r="S6" s="161">
        <f t="shared" si="4"/>
        <v>0</v>
      </c>
      <c r="T6" s="331" t="s">
        <v>140</v>
      </c>
      <c r="U6" s="335" t="str">
        <f t="shared" si="19"/>
        <v/>
      </c>
      <c r="V6" s="336">
        <f t="shared" si="5"/>
        <v>0</v>
      </c>
      <c r="W6" s="336">
        <f t="shared" si="6"/>
        <v>0</v>
      </c>
      <c r="X6" s="161">
        <f t="shared" si="20"/>
        <v>0</v>
      </c>
      <c r="Y6" s="34" t="e">
        <f t="shared" si="21"/>
        <v>#DIV/0!</v>
      </c>
      <c r="Z6" s="62" t="str">
        <f t="shared" si="7"/>
        <v/>
      </c>
      <c r="AA6" s="62" t="e">
        <f t="shared" si="8"/>
        <v>#DIV/0!</v>
      </c>
      <c r="AB6" s="169" t="str">
        <f t="shared" si="9"/>
        <v/>
      </c>
      <c r="AC6" s="173">
        <f t="shared" si="10"/>
        <v>0</v>
      </c>
      <c r="AD6" s="34" t="e">
        <f t="shared" si="11"/>
        <v>#DIV/0!</v>
      </c>
      <c r="AE6" s="34" t="e">
        <f t="shared" si="12"/>
        <v>#DIV/0!</v>
      </c>
      <c r="AF6" s="34" t="e">
        <f t="shared" ref="AF6:AF14" si="26">IF(AE6&gt;30,30,IF(AE6&lt;-30,-30,(AE6)))</f>
        <v>#DIV/0!</v>
      </c>
      <c r="AG6" s="78" t="e">
        <f t="shared" si="13"/>
        <v>#DIV/0!</v>
      </c>
      <c r="AH6" s="166">
        <f>MIN(MAX(IF(T6="Yes",G6+AG6,G6),'Handicaps-Roster'!L8),'Handicaps-Roster'!M8)</f>
        <v>195</v>
      </c>
      <c r="AI6" s="166" t="e">
        <f>MIN(MAX(IF(T6="No",I6+AG6,I6),'Handicaps-Roster'!N8),'Handicaps-Roster'!O8)</f>
        <v>#DIV/0!</v>
      </c>
      <c r="AJ6" s="174" t="e">
        <f>AC6+'Race #9'!AJ6</f>
        <v>#DIV/0!</v>
      </c>
      <c r="AK6" s="175" t="str">
        <f t="shared" si="22"/>
        <v/>
      </c>
      <c r="AL6" s="194" t="str">
        <f t="shared" si="14"/>
        <v/>
      </c>
      <c r="AM6" s="156" t="e">
        <f t="shared" si="15"/>
        <v>#DIV/0!</v>
      </c>
      <c r="AN6" s="156" t="e">
        <f t="shared" si="23"/>
        <v>#DIV/0!</v>
      </c>
      <c r="AO6" s="156" t="e">
        <f>AN6+'Race #9'!AO6</f>
        <v>#DIV/0!</v>
      </c>
      <c r="AP6" s="120" t="str">
        <f t="shared" si="16"/>
        <v>Magoo</v>
      </c>
      <c r="AQ6" s="81"/>
    </row>
    <row r="7" spans="2:46" ht="30" customHeight="1" x14ac:dyDescent="0.2">
      <c r="B7" s="347" t="str">
        <f>'2026 Applebee Finish Summary'!I8</f>
        <v>Feng Shui</v>
      </c>
      <c r="C7" s="422" t="str">
        <f>'2026 Applebee Finish Summary'!J8</f>
        <v>C&amp;C 34</v>
      </c>
      <c r="D7" s="422" t="str">
        <f>'2026 Applebee Finish Summary'!K8</f>
        <v>Mike Finazzo</v>
      </c>
      <c r="E7" s="162">
        <f>'Handicaps-Roster'!G9</f>
        <v>157</v>
      </c>
      <c r="F7" s="162">
        <f>'Handicaps-Roster'!H9</f>
        <v>169</v>
      </c>
      <c r="G7" s="162">
        <f>'Race #9'!AH7</f>
        <v>175.1</v>
      </c>
      <c r="H7" s="61" t="e">
        <f t="shared" si="0"/>
        <v>#DIV/0!</v>
      </c>
      <c r="I7" s="162" t="e">
        <f>'Race #9'!AI7</f>
        <v>#DIV/0!</v>
      </c>
      <c r="J7" s="61" t="e">
        <f t="shared" si="1"/>
        <v>#DIV/0!</v>
      </c>
      <c r="K7" s="61" t="str">
        <f t="shared" si="17"/>
        <v>No</v>
      </c>
      <c r="L7" s="328">
        <f t="shared" si="2"/>
        <v>0</v>
      </c>
      <c r="M7" s="329"/>
      <c r="N7" s="329"/>
      <c r="O7" s="59">
        <f t="shared" si="18"/>
        <v>0</v>
      </c>
      <c r="P7" s="337" t="str">
        <f t="shared" si="3"/>
        <v/>
      </c>
      <c r="Q7" s="163">
        <f>N7-M7</f>
        <v>0</v>
      </c>
      <c r="R7" s="164">
        <f>HOUR(Q7)*3600+MINUTE(Q7)*60+SECOND(Q7)</f>
        <v>0</v>
      </c>
      <c r="S7" s="164">
        <f t="shared" si="4"/>
        <v>0</v>
      </c>
      <c r="T7" s="331" t="s">
        <v>140</v>
      </c>
      <c r="U7" s="332" t="str">
        <f t="shared" si="19"/>
        <v/>
      </c>
      <c r="V7" s="333">
        <f t="shared" si="5"/>
        <v>0</v>
      </c>
      <c r="W7" s="333">
        <f t="shared" si="6"/>
        <v>0</v>
      </c>
      <c r="X7" s="164">
        <f t="shared" si="20"/>
        <v>0</v>
      </c>
      <c r="Y7" s="59" t="e">
        <f t="shared" si="21"/>
        <v>#DIV/0!</v>
      </c>
      <c r="Z7" s="77" t="str">
        <f t="shared" si="7"/>
        <v/>
      </c>
      <c r="AA7" s="77" t="e">
        <f t="shared" si="8"/>
        <v>#DIV/0!</v>
      </c>
      <c r="AB7" s="169" t="str">
        <f t="shared" si="9"/>
        <v/>
      </c>
      <c r="AC7" s="173">
        <f t="shared" si="10"/>
        <v>0</v>
      </c>
      <c r="AD7" s="59" t="e">
        <f t="shared" si="11"/>
        <v>#DIV/0!</v>
      </c>
      <c r="AE7" s="59" t="e">
        <f t="shared" si="12"/>
        <v>#DIV/0!</v>
      </c>
      <c r="AF7" s="59" t="e">
        <f>IF(AE7&gt;30,30,IF(AE7&lt;-30,-30,(AE7)))</f>
        <v>#DIV/0!</v>
      </c>
      <c r="AG7" s="60" t="e">
        <f t="shared" si="13"/>
        <v>#DIV/0!</v>
      </c>
      <c r="AH7" s="165">
        <f>MIN(MAX(IF(T7="Yes",G7+AG7,G7),'Handicaps-Roster'!L9),'Handicaps-Roster'!M9)</f>
        <v>175.1</v>
      </c>
      <c r="AI7" s="165" t="e">
        <f>MIN(MAX(IF(T7="No",I7+AG7,I7),'Handicaps-Roster'!N9),'Handicaps-Roster'!O9)</f>
        <v>#DIV/0!</v>
      </c>
      <c r="AJ7" s="174" t="e">
        <f>AC7+'Race #9'!AJ7</f>
        <v>#DIV/0!</v>
      </c>
      <c r="AK7" s="176" t="str">
        <f t="shared" si="22"/>
        <v/>
      </c>
      <c r="AL7" s="195" t="str">
        <f t="shared" si="14"/>
        <v/>
      </c>
      <c r="AM7" s="156" t="e">
        <f t="shared" si="15"/>
        <v>#DIV/0!</v>
      </c>
      <c r="AN7" s="156" t="e">
        <f t="shared" si="23"/>
        <v>#DIV/0!</v>
      </c>
      <c r="AO7" s="156" t="e">
        <f>AN7+'Race #9'!AO7</f>
        <v>#DIV/0!</v>
      </c>
      <c r="AP7" s="158" t="str">
        <f t="shared" si="16"/>
        <v>Feng Shui</v>
      </c>
      <c r="AQ7" s="81"/>
    </row>
    <row r="8" spans="2:46" ht="30" customHeight="1" x14ac:dyDescent="0.2">
      <c r="B8" s="65" t="str">
        <f>'2026 Applebee Finish Summary'!I9</f>
        <v>Grin</v>
      </c>
      <c r="C8" s="423" t="str">
        <f>'2026 Applebee Finish Summary'!J9</f>
        <v>Ericson 32-200</v>
      </c>
      <c r="D8" s="423" t="str">
        <f>'2026 Applebee Finish Summary'!K9</f>
        <v>John Woomer</v>
      </c>
      <c r="E8" s="46">
        <f>'Handicaps-Roster'!G10</f>
        <v>165</v>
      </c>
      <c r="F8" s="46">
        <f>'Handicaps-Roster'!H10</f>
        <v>177</v>
      </c>
      <c r="G8" s="46">
        <f>'Race #9'!AH8</f>
        <v>198</v>
      </c>
      <c r="H8" s="58" t="e">
        <f t="shared" si="0"/>
        <v>#DIV/0!</v>
      </c>
      <c r="I8" s="46" t="e">
        <f>'Race #9'!AI8</f>
        <v>#DIV/0!</v>
      </c>
      <c r="J8" s="58" t="e">
        <f t="shared" si="1"/>
        <v>#DIV/0!</v>
      </c>
      <c r="K8" s="58" t="str">
        <f t="shared" si="17"/>
        <v>No</v>
      </c>
      <c r="L8" s="334">
        <f t="shared" si="2"/>
        <v>0</v>
      </c>
      <c r="M8" s="329"/>
      <c r="N8" s="329"/>
      <c r="O8" s="34">
        <f t="shared" si="18"/>
        <v>0</v>
      </c>
      <c r="P8" s="337" t="str">
        <f t="shared" si="3"/>
        <v/>
      </c>
      <c r="Q8" s="160">
        <f t="shared" si="24"/>
        <v>0</v>
      </c>
      <c r="R8" s="161">
        <f t="shared" si="25"/>
        <v>0</v>
      </c>
      <c r="S8" s="161">
        <f t="shared" si="4"/>
        <v>0</v>
      </c>
      <c r="T8" s="331" t="s">
        <v>140</v>
      </c>
      <c r="U8" s="335" t="str">
        <f t="shared" si="19"/>
        <v/>
      </c>
      <c r="V8" s="333">
        <f t="shared" si="5"/>
        <v>0</v>
      </c>
      <c r="W8" s="336">
        <f>IF(T8="Yes",(-(J8-H8)*R8),0)</f>
        <v>0</v>
      </c>
      <c r="X8" s="161">
        <f>R8-S8+V8</f>
        <v>0</v>
      </c>
      <c r="Y8" s="34" t="e">
        <f>IF(T8="Yes",R8*H8,R8*J8)</f>
        <v>#DIV/0!</v>
      </c>
      <c r="Z8" s="62" t="str">
        <f t="shared" si="7"/>
        <v/>
      </c>
      <c r="AA8" s="62" t="e">
        <f t="shared" si="8"/>
        <v>#DIV/0!</v>
      </c>
      <c r="AB8" s="169" t="str">
        <f t="shared" si="9"/>
        <v/>
      </c>
      <c r="AC8" s="173">
        <f t="shared" si="10"/>
        <v>0</v>
      </c>
      <c r="AD8" s="34" t="e">
        <f t="shared" si="11"/>
        <v>#DIV/0!</v>
      </c>
      <c r="AE8" s="34" t="e">
        <f t="shared" si="12"/>
        <v>#DIV/0!</v>
      </c>
      <c r="AF8" s="34" t="e">
        <f t="shared" si="26"/>
        <v>#DIV/0!</v>
      </c>
      <c r="AG8" s="78" t="e">
        <f t="shared" si="13"/>
        <v>#DIV/0!</v>
      </c>
      <c r="AH8" s="166">
        <f>MIN(MAX(IF(T8="Yes",G8+AG8,G8),'Handicaps-Roster'!L10),'Handicaps-Roster'!M10)</f>
        <v>198</v>
      </c>
      <c r="AI8" s="166" t="e">
        <f>MIN(MAX(IF(T8="No",I8+AG8,I8),'Handicaps-Roster'!N10),'Handicaps-Roster'!O10)</f>
        <v>#DIV/0!</v>
      </c>
      <c r="AJ8" s="174" t="e">
        <f>AC8+'Race #9'!AJ8</f>
        <v>#DIV/0!</v>
      </c>
      <c r="AK8" s="175" t="str">
        <f t="shared" si="22"/>
        <v/>
      </c>
      <c r="AL8" s="194" t="str">
        <f t="shared" si="14"/>
        <v/>
      </c>
      <c r="AM8" s="156" t="e">
        <f t="shared" si="15"/>
        <v>#DIV/0!</v>
      </c>
      <c r="AN8" s="156" t="e">
        <f t="shared" si="23"/>
        <v>#DIV/0!</v>
      </c>
      <c r="AO8" s="156" t="e">
        <f>AN8+'Race #9'!AO8</f>
        <v>#DIV/0!</v>
      </c>
      <c r="AP8" s="120" t="str">
        <f t="shared" si="16"/>
        <v>Grin</v>
      </c>
      <c r="AQ8" s="81"/>
    </row>
    <row r="9" spans="2:46" ht="30" customHeight="1" x14ac:dyDescent="0.2">
      <c r="B9" s="347" t="str">
        <f>'2026 Applebee Finish Summary'!I10</f>
        <v>Kristin B II</v>
      </c>
      <c r="C9" s="422" t="str">
        <f>'2026 Applebee Finish Summary'!J10</f>
        <v>Catalina 36 TM</v>
      </c>
      <c r="D9" s="422" t="str">
        <f>'2026 Applebee Finish Summary'!K10</f>
        <v>Mike Cann</v>
      </c>
      <c r="E9" s="162">
        <f>'Handicaps-Roster'!G11</f>
        <v>154</v>
      </c>
      <c r="F9" s="162">
        <f>'Handicaps-Roster'!H11</f>
        <v>163</v>
      </c>
      <c r="G9" s="162">
        <f>'Race #9'!AH9</f>
        <v>179.3</v>
      </c>
      <c r="H9" s="61" t="e">
        <f t="shared" si="0"/>
        <v>#DIV/0!</v>
      </c>
      <c r="I9" s="162" t="e">
        <f>'Race #9'!AI9</f>
        <v>#DIV/0!</v>
      </c>
      <c r="J9" s="61" t="e">
        <f t="shared" si="1"/>
        <v>#DIV/0!</v>
      </c>
      <c r="K9" s="61" t="str">
        <f t="shared" si="17"/>
        <v>No</v>
      </c>
      <c r="L9" s="328">
        <f t="shared" si="2"/>
        <v>0</v>
      </c>
      <c r="M9" s="329"/>
      <c r="N9" s="329"/>
      <c r="O9" s="59">
        <f t="shared" si="18"/>
        <v>0</v>
      </c>
      <c r="P9" s="337" t="str">
        <f t="shared" si="3"/>
        <v/>
      </c>
      <c r="Q9" s="163">
        <f t="shared" si="24"/>
        <v>0</v>
      </c>
      <c r="R9" s="164">
        <f t="shared" si="25"/>
        <v>0</v>
      </c>
      <c r="S9" s="164">
        <f t="shared" si="4"/>
        <v>0</v>
      </c>
      <c r="T9" s="331" t="s">
        <v>140</v>
      </c>
      <c r="U9" s="332" t="str">
        <f t="shared" si="19"/>
        <v/>
      </c>
      <c r="V9" s="333">
        <f t="shared" si="5"/>
        <v>0</v>
      </c>
      <c r="W9" s="333">
        <f t="shared" ref="W9:W17" si="27">IF(T9="Yes",(-(J9-H9)*R9),0)</f>
        <v>0</v>
      </c>
      <c r="X9" s="164">
        <f>R9-S9+V9</f>
        <v>0</v>
      </c>
      <c r="Y9" s="59" t="e">
        <f t="shared" si="21"/>
        <v>#DIV/0!</v>
      </c>
      <c r="Z9" s="77" t="str">
        <f t="shared" si="7"/>
        <v/>
      </c>
      <c r="AA9" s="77" t="e">
        <f t="shared" si="8"/>
        <v>#DIV/0!</v>
      </c>
      <c r="AB9" s="169" t="str">
        <f t="shared" si="9"/>
        <v/>
      </c>
      <c r="AC9" s="173">
        <f t="shared" si="10"/>
        <v>0</v>
      </c>
      <c r="AD9" s="59" t="e">
        <f t="shared" si="11"/>
        <v>#DIV/0!</v>
      </c>
      <c r="AE9" s="59" t="e">
        <f t="shared" si="12"/>
        <v>#DIV/0!</v>
      </c>
      <c r="AF9" s="59" t="e">
        <f t="shared" si="26"/>
        <v>#DIV/0!</v>
      </c>
      <c r="AG9" s="60" t="e">
        <f t="shared" si="13"/>
        <v>#DIV/0!</v>
      </c>
      <c r="AH9" s="165">
        <f>MIN(MAX(IF(T9="Yes",G9+AG9,G9),'Handicaps-Roster'!L11),'Handicaps-Roster'!M11)</f>
        <v>179.3</v>
      </c>
      <c r="AI9" s="165" t="e">
        <f>MIN(MAX(IF(T9="No",I9+AG9,I9),'Handicaps-Roster'!N11),'Handicaps-Roster'!O11)</f>
        <v>#DIV/0!</v>
      </c>
      <c r="AJ9" s="174" t="e">
        <f>AC9+'Race #9'!AJ9</f>
        <v>#DIV/0!</v>
      </c>
      <c r="AK9" s="176" t="str">
        <f t="shared" si="22"/>
        <v/>
      </c>
      <c r="AL9" s="195" t="str">
        <f t="shared" si="14"/>
        <v/>
      </c>
      <c r="AM9" s="156" t="e">
        <f t="shared" si="15"/>
        <v>#DIV/0!</v>
      </c>
      <c r="AN9" s="156" t="e">
        <f t="shared" si="23"/>
        <v>#DIV/0!</v>
      </c>
      <c r="AO9" s="156" t="e">
        <f>AN9+'Race #9'!AO9</f>
        <v>#DIV/0!</v>
      </c>
      <c r="AP9" s="158" t="str">
        <f t="shared" si="16"/>
        <v>Kristin B II</v>
      </c>
      <c r="AQ9" s="81"/>
    </row>
    <row r="10" spans="2:46" ht="30" customHeight="1" x14ac:dyDescent="0.2">
      <c r="B10" s="65" t="str">
        <f>'2026 Applebee Finish Summary'!I11</f>
        <v>MacGuffin</v>
      </c>
      <c r="C10" s="423" t="str">
        <f>'2026 Applebee Finish Summary'!J11</f>
        <v>Shock Harbor 25</v>
      </c>
      <c r="D10" s="423" t="str">
        <f>'2026 Applebee Finish Summary'!K11</f>
        <v>Darryl Rosenbaum</v>
      </c>
      <c r="E10" s="46">
        <f>'Handicaps-Roster'!G12</f>
        <v>204</v>
      </c>
      <c r="F10" s="46">
        <f>'Handicaps-Roster'!H12</f>
        <v>204</v>
      </c>
      <c r="G10" s="46">
        <f>'Race #9'!AH10</f>
        <v>204</v>
      </c>
      <c r="H10" s="58" t="e">
        <f t="shared" si="0"/>
        <v>#DIV/0!</v>
      </c>
      <c r="I10" s="46" t="e">
        <f>'Race #9'!AI10</f>
        <v>#DIV/0!</v>
      </c>
      <c r="J10" s="58" t="e">
        <f t="shared" si="1"/>
        <v>#DIV/0!</v>
      </c>
      <c r="K10" s="58" t="str">
        <f t="shared" si="17"/>
        <v>No</v>
      </c>
      <c r="L10" s="334">
        <f t="shared" si="2"/>
        <v>0</v>
      </c>
      <c r="M10" s="329"/>
      <c r="N10" s="329"/>
      <c r="O10" s="34">
        <f t="shared" si="18"/>
        <v>0</v>
      </c>
      <c r="P10" s="337" t="str">
        <f t="shared" si="3"/>
        <v/>
      </c>
      <c r="Q10" s="160">
        <f t="shared" si="24"/>
        <v>0</v>
      </c>
      <c r="R10" s="161">
        <f t="shared" si="25"/>
        <v>0</v>
      </c>
      <c r="S10" s="161">
        <f t="shared" si="4"/>
        <v>0</v>
      </c>
      <c r="T10" s="331" t="s">
        <v>140</v>
      </c>
      <c r="U10" s="335" t="str">
        <f t="shared" si="19"/>
        <v/>
      </c>
      <c r="V10" s="336">
        <f t="shared" si="5"/>
        <v>0</v>
      </c>
      <c r="W10" s="336">
        <f t="shared" si="27"/>
        <v>0</v>
      </c>
      <c r="X10" s="161">
        <f t="shared" si="20"/>
        <v>0</v>
      </c>
      <c r="Y10" s="34" t="e">
        <f t="shared" si="21"/>
        <v>#DIV/0!</v>
      </c>
      <c r="Z10" s="62" t="str">
        <f t="shared" si="7"/>
        <v/>
      </c>
      <c r="AA10" s="62" t="e">
        <f t="shared" si="8"/>
        <v>#DIV/0!</v>
      </c>
      <c r="AB10" s="169" t="str">
        <f t="shared" si="9"/>
        <v/>
      </c>
      <c r="AC10" s="173">
        <f t="shared" si="10"/>
        <v>0</v>
      </c>
      <c r="AD10" s="34" t="e">
        <f t="shared" si="11"/>
        <v>#DIV/0!</v>
      </c>
      <c r="AE10" s="34" t="e">
        <f t="shared" si="12"/>
        <v>#DIV/0!</v>
      </c>
      <c r="AF10" s="34" t="e">
        <f t="shared" si="26"/>
        <v>#DIV/0!</v>
      </c>
      <c r="AG10" s="78" t="e">
        <f t="shared" si="13"/>
        <v>#DIV/0!</v>
      </c>
      <c r="AH10" s="166">
        <f>MIN(MAX(IF(T10="Yes",G10+AG10,G10),'Handicaps-Roster'!L12),'Handicaps-Roster'!M12)</f>
        <v>204</v>
      </c>
      <c r="AI10" s="166" t="e">
        <f>MIN(MAX(IF(T10="No",I10+AG10,I10),'Handicaps-Roster'!N12),'Handicaps-Roster'!O12)</f>
        <v>#DIV/0!</v>
      </c>
      <c r="AJ10" s="174" t="e">
        <f>AC10+'Race #9'!AJ10</f>
        <v>#DIV/0!</v>
      </c>
      <c r="AK10" s="175" t="str">
        <f t="shared" si="22"/>
        <v/>
      </c>
      <c r="AL10" s="194" t="str">
        <f t="shared" si="14"/>
        <v/>
      </c>
      <c r="AM10" s="156" t="e">
        <f t="shared" si="15"/>
        <v>#DIV/0!</v>
      </c>
      <c r="AN10" s="156" t="e">
        <f t="shared" si="23"/>
        <v>#DIV/0!</v>
      </c>
      <c r="AO10" s="156" t="e">
        <f>AN10+'Race #9'!AO10</f>
        <v>#DIV/0!</v>
      </c>
      <c r="AP10" s="120" t="str">
        <f t="shared" si="16"/>
        <v>MacGuffin</v>
      </c>
      <c r="AQ10" s="81"/>
    </row>
    <row r="11" spans="2:46" ht="30" customHeight="1" x14ac:dyDescent="0.2">
      <c r="B11" s="347" t="str">
        <f>'2026 Applebee Finish Summary'!I12</f>
        <v>Mirabelle</v>
      </c>
      <c r="C11" s="422" t="str">
        <f>'2026 Applebee Finish Summary'!J12</f>
        <v>Cape Dory 32</v>
      </c>
      <c r="D11" s="422" t="str">
        <f>'2026 Applebee Finish Summary'!K12</f>
        <v>Campbell McLeod</v>
      </c>
      <c r="E11" s="162">
        <f>'Handicaps-Roster'!G13</f>
        <v>204</v>
      </c>
      <c r="F11" s="162">
        <f>'Handicaps-Roster'!H13</f>
        <v>216</v>
      </c>
      <c r="G11" s="162">
        <f>'Race #9'!AH11</f>
        <v>233.5</v>
      </c>
      <c r="H11" s="61" t="e">
        <f t="shared" si="0"/>
        <v>#DIV/0!</v>
      </c>
      <c r="I11" s="162" t="e">
        <f>'Race #9'!AI11</f>
        <v>#DIV/0!</v>
      </c>
      <c r="J11" s="61" t="e">
        <f t="shared" si="1"/>
        <v>#DIV/0!</v>
      </c>
      <c r="K11" s="61" t="str">
        <f t="shared" si="17"/>
        <v>No</v>
      </c>
      <c r="L11" s="328">
        <f t="shared" si="2"/>
        <v>0</v>
      </c>
      <c r="M11" s="329"/>
      <c r="N11" s="329"/>
      <c r="O11" s="59">
        <f t="shared" si="18"/>
        <v>0</v>
      </c>
      <c r="P11" s="337" t="str">
        <f t="shared" si="3"/>
        <v/>
      </c>
      <c r="Q11" s="163">
        <f t="shared" si="24"/>
        <v>0</v>
      </c>
      <c r="R11" s="164">
        <f t="shared" si="25"/>
        <v>0</v>
      </c>
      <c r="S11" s="164">
        <f t="shared" si="4"/>
        <v>0</v>
      </c>
      <c r="T11" s="331" t="s">
        <v>140</v>
      </c>
      <c r="U11" s="332" t="str">
        <f t="shared" si="19"/>
        <v/>
      </c>
      <c r="V11" s="333">
        <f t="shared" si="5"/>
        <v>0</v>
      </c>
      <c r="W11" s="333">
        <f t="shared" si="27"/>
        <v>0</v>
      </c>
      <c r="X11" s="164">
        <f t="shared" si="20"/>
        <v>0</v>
      </c>
      <c r="Y11" s="59" t="e">
        <f t="shared" si="21"/>
        <v>#DIV/0!</v>
      </c>
      <c r="Z11" s="77" t="str">
        <f t="shared" si="7"/>
        <v/>
      </c>
      <c r="AA11" s="77" t="e">
        <f t="shared" si="8"/>
        <v>#DIV/0!</v>
      </c>
      <c r="AB11" s="169" t="str">
        <f t="shared" si="9"/>
        <v/>
      </c>
      <c r="AC11" s="173">
        <f t="shared" si="10"/>
        <v>0</v>
      </c>
      <c r="AD11" s="59" t="e">
        <f t="shared" si="11"/>
        <v>#DIV/0!</v>
      </c>
      <c r="AE11" s="59" t="e">
        <f t="shared" si="12"/>
        <v>#DIV/0!</v>
      </c>
      <c r="AF11" s="59" t="e">
        <f t="shared" si="26"/>
        <v>#DIV/0!</v>
      </c>
      <c r="AG11" s="60" t="e">
        <f t="shared" si="13"/>
        <v>#DIV/0!</v>
      </c>
      <c r="AH11" s="165">
        <f>MIN(MAX(IF(T11="Yes",G11+AG11,G11),'Handicaps-Roster'!L13),'Handicaps-Roster'!M13)</f>
        <v>233.5</v>
      </c>
      <c r="AI11" s="165" t="e">
        <f>MIN(MAX(IF(T11="No",I11+AG11,I11),'Handicaps-Roster'!N13),'Handicaps-Roster'!O13)</f>
        <v>#DIV/0!</v>
      </c>
      <c r="AJ11" s="174" t="e">
        <f>AC11+'Race #9'!AJ11</f>
        <v>#DIV/0!</v>
      </c>
      <c r="AK11" s="176" t="str">
        <f t="shared" si="22"/>
        <v/>
      </c>
      <c r="AL11" s="195" t="str">
        <f t="shared" si="14"/>
        <v/>
      </c>
      <c r="AM11" s="156" t="e">
        <f t="shared" si="15"/>
        <v>#DIV/0!</v>
      </c>
      <c r="AN11" s="156" t="e">
        <f t="shared" si="23"/>
        <v>#DIV/0!</v>
      </c>
      <c r="AO11" s="156" t="e">
        <f>AN11+'Race #9'!AO11</f>
        <v>#DIV/0!</v>
      </c>
      <c r="AP11" s="158" t="str">
        <f t="shared" si="16"/>
        <v>Mirabelle</v>
      </c>
      <c r="AQ11" s="81"/>
    </row>
    <row r="12" spans="2:46" ht="30" customHeight="1" x14ac:dyDescent="0.2">
      <c r="B12" s="65" t="str">
        <f>'2026 Applebee Finish Summary'!I13</f>
        <v>Outrageous</v>
      </c>
      <c r="C12" s="423" t="str">
        <f>'2026 Applebee Finish Summary'!J13</f>
        <v>Tanzer 22</v>
      </c>
      <c r="D12" s="423" t="str">
        <f>'2026 Applebee Finish Summary'!K13</f>
        <v>Don Webb</v>
      </c>
      <c r="E12" s="46">
        <f>'Handicaps-Roster'!G14</f>
        <v>254</v>
      </c>
      <c r="F12" s="46">
        <f>'Handicaps-Roster'!H14</f>
        <v>261</v>
      </c>
      <c r="G12" s="46">
        <f>'Race #9'!AH12</f>
        <v>252.6</v>
      </c>
      <c r="H12" s="58" t="e">
        <f t="shared" si="0"/>
        <v>#DIV/0!</v>
      </c>
      <c r="I12" s="46" t="e">
        <f>'Race #9'!AI12</f>
        <v>#DIV/0!</v>
      </c>
      <c r="J12" s="58" t="e">
        <f t="shared" si="1"/>
        <v>#DIV/0!</v>
      </c>
      <c r="K12" s="58" t="str">
        <f t="shared" si="17"/>
        <v>No</v>
      </c>
      <c r="L12" s="334">
        <f t="shared" si="2"/>
        <v>0</v>
      </c>
      <c r="M12" s="329"/>
      <c r="N12" s="329"/>
      <c r="O12" s="34">
        <f t="shared" si="18"/>
        <v>0</v>
      </c>
      <c r="P12" s="337" t="str">
        <f t="shared" si="3"/>
        <v/>
      </c>
      <c r="Q12" s="160">
        <f t="shared" si="24"/>
        <v>0</v>
      </c>
      <c r="R12" s="161">
        <f t="shared" si="25"/>
        <v>0</v>
      </c>
      <c r="S12" s="161">
        <f t="shared" si="4"/>
        <v>0</v>
      </c>
      <c r="T12" s="331" t="s">
        <v>140</v>
      </c>
      <c r="U12" s="335" t="str">
        <f t="shared" si="19"/>
        <v/>
      </c>
      <c r="V12" s="336">
        <f t="shared" si="5"/>
        <v>0</v>
      </c>
      <c r="W12" s="336">
        <f t="shared" si="27"/>
        <v>0</v>
      </c>
      <c r="X12" s="161">
        <f t="shared" si="20"/>
        <v>0</v>
      </c>
      <c r="Y12" s="34" t="e">
        <f t="shared" si="21"/>
        <v>#DIV/0!</v>
      </c>
      <c r="Z12" s="62" t="str">
        <f t="shared" si="7"/>
        <v/>
      </c>
      <c r="AA12" s="62" t="e">
        <f t="shared" si="8"/>
        <v>#DIV/0!</v>
      </c>
      <c r="AB12" s="169" t="str">
        <f t="shared" si="9"/>
        <v/>
      </c>
      <c r="AC12" s="173">
        <f t="shared" si="10"/>
        <v>0</v>
      </c>
      <c r="AD12" s="34" t="e">
        <f t="shared" si="11"/>
        <v>#DIV/0!</v>
      </c>
      <c r="AE12" s="34" t="e">
        <f t="shared" si="12"/>
        <v>#DIV/0!</v>
      </c>
      <c r="AF12" s="34" t="e">
        <f t="shared" si="26"/>
        <v>#DIV/0!</v>
      </c>
      <c r="AG12" s="78" t="e">
        <f t="shared" si="13"/>
        <v>#DIV/0!</v>
      </c>
      <c r="AH12" s="166">
        <f>MIN(MAX(IF(T12="Yes",G12+AG12,G12),'Handicaps-Roster'!L14),'Handicaps-Roster'!M14)</f>
        <v>252.6</v>
      </c>
      <c r="AI12" s="166" t="e">
        <f>MIN(MAX(IF(T12="No",I12+AG12,I12),'Handicaps-Roster'!N14),'Handicaps-Roster'!O14)</f>
        <v>#DIV/0!</v>
      </c>
      <c r="AJ12" s="174" t="e">
        <f>AC12+'Race #9'!AJ12</f>
        <v>#DIV/0!</v>
      </c>
      <c r="AK12" s="175" t="str">
        <f t="shared" si="22"/>
        <v/>
      </c>
      <c r="AL12" s="194" t="str">
        <f t="shared" si="14"/>
        <v/>
      </c>
      <c r="AM12" s="156" t="e">
        <f t="shared" si="15"/>
        <v>#DIV/0!</v>
      </c>
      <c r="AN12" s="156" t="e">
        <f t="shared" si="23"/>
        <v>#DIV/0!</v>
      </c>
      <c r="AO12" s="156" t="e">
        <f>AN12+'Race #9'!AO12</f>
        <v>#DIV/0!</v>
      </c>
      <c r="AP12" s="120" t="str">
        <f t="shared" si="16"/>
        <v>Outrageous</v>
      </c>
      <c r="AQ12" s="81"/>
    </row>
    <row r="13" spans="2:46" ht="30" customHeight="1" x14ac:dyDescent="0.2">
      <c r="B13" s="347" t="str">
        <f>'2026 Applebee Finish Summary'!I14</f>
        <v>Paradox</v>
      </c>
      <c r="C13" s="422" t="str">
        <f>'2026 Applebee Finish Summary'!J14</f>
        <v>J 92</v>
      </c>
      <c r="D13" s="422" t="str">
        <f>'2026 Applebee Finish Summary'!K14</f>
        <v>Glenn VanOtteren/Ted Standiford</v>
      </c>
      <c r="E13" s="162">
        <f>'Handicaps-Roster'!G15</f>
        <v>111</v>
      </c>
      <c r="F13" s="162">
        <f>'Handicaps-Roster'!H15</f>
        <v>132</v>
      </c>
      <c r="G13" s="162">
        <f>'Race #9'!AH13</f>
        <v>94.35</v>
      </c>
      <c r="H13" s="61" t="e">
        <f t="shared" si="0"/>
        <v>#DIV/0!</v>
      </c>
      <c r="I13" s="162" t="e">
        <f>'Race #9'!AI13</f>
        <v>#DIV/0!</v>
      </c>
      <c r="J13" s="61" t="e">
        <f t="shared" si="1"/>
        <v>#DIV/0!</v>
      </c>
      <c r="K13" s="61" t="str">
        <f t="shared" si="17"/>
        <v>No</v>
      </c>
      <c r="L13" s="328">
        <f t="shared" si="2"/>
        <v>0</v>
      </c>
      <c r="M13" s="329"/>
      <c r="N13" s="329"/>
      <c r="O13" s="59">
        <f t="shared" si="18"/>
        <v>0</v>
      </c>
      <c r="P13" s="337" t="str">
        <f t="shared" si="3"/>
        <v/>
      </c>
      <c r="Q13" s="163">
        <f t="shared" si="24"/>
        <v>0</v>
      </c>
      <c r="R13" s="164">
        <f t="shared" si="25"/>
        <v>0</v>
      </c>
      <c r="S13" s="164">
        <f t="shared" si="4"/>
        <v>0</v>
      </c>
      <c r="T13" s="331" t="s">
        <v>140</v>
      </c>
      <c r="U13" s="165" t="str">
        <f t="shared" si="19"/>
        <v/>
      </c>
      <c r="V13" s="333">
        <f t="shared" si="5"/>
        <v>0</v>
      </c>
      <c r="W13" s="333">
        <f t="shared" si="27"/>
        <v>0</v>
      </c>
      <c r="X13" s="164">
        <f t="shared" si="20"/>
        <v>0</v>
      </c>
      <c r="Y13" s="59" t="e">
        <f t="shared" si="21"/>
        <v>#DIV/0!</v>
      </c>
      <c r="Z13" s="77" t="str">
        <f t="shared" si="7"/>
        <v/>
      </c>
      <c r="AA13" s="77" t="e">
        <f t="shared" si="8"/>
        <v>#DIV/0!</v>
      </c>
      <c r="AB13" s="169" t="str">
        <f t="shared" si="9"/>
        <v/>
      </c>
      <c r="AC13" s="173">
        <f t="shared" si="10"/>
        <v>0</v>
      </c>
      <c r="AD13" s="59" t="e">
        <f t="shared" si="11"/>
        <v>#DIV/0!</v>
      </c>
      <c r="AE13" s="59" t="e">
        <f t="shared" si="12"/>
        <v>#DIV/0!</v>
      </c>
      <c r="AF13" s="59" t="e">
        <f t="shared" si="26"/>
        <v>#DIV/0!</v>
      </c>
      <c r="AG13" s="60" t="e">
        <f t="shared" si="13"/>
        <v>#DIV/0!</v>
      </c>
      <c r="AH13" s="165">
        <f>MIN(MAX(IF(T13="Yes",G13+AG13,G13),'Handicaps-Roster'!L15),'Handicaps-Roster'!M15)</f>
        <v>94.35</v>
      </c>
      <c r="AI13" s="165" t="e">
        <f>MIN(MAX(IF(T13="No",I13+AG13,I13),'Handicaps-Roster'!N15),'Handicaps-Roster'!O15)</f>
        <v>#DIV/0!</v>
      </c>
      <c r="AJ13" s="174" t="e">
        <f>AC13+'Race #9'!AJ13</f>
        <v>#DIV/0!</v>
      </c>
      <c r="AK13" s="176" t="str">
        <f t="shared" si="22"/>
        <v/>
      </c>
      <c r="AL13" s="195" t="str">
        <f t="shared" si="14"/>
        <v/>
      </c>
      <c r="AM13" s="156" t="e">
        <f t="shared" si="15"/>
        <v>#DIV/0!</v>
      </c>
      <c r="AN13" s="156" t="e">
        <f t="shared" si="23"/>
        <v>#DIV/0!</v>
      </c>
      <c r="AO13" s="156" t="e">
        <f>AN13+'Race #9'!AO13</f>
        <v>#DIV/0!</v>
      </c>
      <c r="AP13" s="158" t="str">
        <f t="shared" si="16"/>
        <v>Paradox</v>
      </c>
      <c r="AQ13" s="81"/>
    </row>
    <row r="14" spans="2:46" ht="30" customHeight="1" x14ac:dyDescent="0.2">
      <c r="B14" s="65" t="str">
        <f>'2026 Applebee Finish Summary'!I15</f>
        <v>Pegasus</v>
      </c>
      <c r="C14" s="423" t="str">
        <f>'2026 Applebee Finish Summary'!J15</f>
        <v>Catalina 320</v>
      </c>
      <c r="D14" s="423" t="str">
        <f>'2026 Applebee Finish Summary'!K15</f>
        <v>Bill Allen</v>
      </c>
      <c r="E14" s="46">
        <f>'Handicaps-Roster'!G16</f>
        <v>162</v>
      </c>
      <c r="F14" s="46">
        <f>'Handicaps-Roster'!H16</f>
        <v>171</v>
      </c>
      <c r="G14" s="46">
        <f>'Race #9'!AH14</f>
        <v>137.69999999999999</v>
      </c>
      <c r="H14" s="58" t="e">
        <f t="shared" si="0"/>
        <v>#DIV/0!</v>
      </c>
      <c r="I14" s="46" t="e">
        <f>'Race #9'!AI14</f>
        <v>#DIV/0!</v>
      </c>
      <c r="J14" s="58" t="e">
        <f t="shared" si="1"/>
        <v>#DIV/0!</v>
      </c>
      <c r="K14" s="58" t="str">
        <f t="shared" si="17"/>
        <v>No</v>
      </c>
      <c r="L14" s="334">
        <f t="shared" si="2"/>
        <v>0</v>
      </c>
      <c r="M14" s="329"/>
      <c r="N14" s="329"/>
      <c r="O14" s="34">
        <f t="shared" si="18"/>
        <v>0</v>
      </c>
      <c r="P14" s="337" t="str">
        <f t="shared" si="3"/>
        <v/>
      </c>
      <c r="Q14" s="160">
        <f t="shared" si="24"/>
        <v>0</v>
      </c>
      <c r="R14" s="161">
        <f t="shared" si="25"/>
        <v>0</v>
      </c>
      <c r="S14" s="161">
        <f t="shared" si="4"/>
        <v>0</v>
      </c>
      <c r="T14" s="331" t="s">
        <v>140</v>
      </c>
      <c r="U14" s="335" t="str">
        <f t="shared" si="19"/>
        <v/>
      </c>
      <c r="V14" s="336">
        <f t="shared" si="5"/>
        <v>0</v>
      </c>
      <c r="W14" s="336">
        <f t="shared" si="27"/>
        <v>0</v>
      </c>
      <c r="X14" s="161">
        <f t="shared" si="20"/>
        <v>0</v>
      </c>
      <c r="Y14" s="34" t="e">
        <f t="shared" si="21"/>
        <v>#DIV/0!</v>
      </c>
      <c r="Z14" s="62" t="str">
        <f t="shared" si="7"/>
        <v/>
      </c>
      <c r="AA14" s="62" t="e">
        <f t="shared" si="8"/>
        <v>#DIV/0!</v>
      </c>
      <c r="AB14" s="169" t="str">
        <f t="shared" si="9"/>
        <v/>
      </c>
      <c r="AC14" s="173">
        <f t="shared" si="10"/>
        <v>0</v>
      </c>
      <c r="AD14" s="34" t="e">
        <f t="shared" si="11"/>
        <v>#DIV/0!</v>
      </c>
      <c r="AE14" s="34" t="e">
        <f t="shared" si="12"/>
        <v>#DIV/0!</v>
      </c>
      <c r="AF14" s="34" t="e">
        <f t="shared" si="26"/>
        <v>#DIV/0!</v>
      </c>
      <c r="AG14" s="78" t="e">
        <f t="shared" si="13"/>
        <v>#DIV/0!</v>
      </c>
      <c r="AH14" s="166">
        <f>MIN(MAX(IF(T14="Yes",G14+AG14,G14),'Handicaps-Roster'!L16),'Handicaps-Roster'!M16)</f>
        <v>137.69999999999999</v>
      </c>
      <c r="AI14" s="166" t="e">
        <f>MIN(MAX(IF(T14="No",I14+AG14,I14),'Handicaps-Roster'!N16),'Handicaps-Roster'!O16)</f>
        <v>#DIV/0!</v>
      </c>
      <c r="AJ14" s="174" t="e">
        <f>AC14+'Race #9'!AJ14</f>
        <v>#DIV/0!</v>
      </c>
      <c r="AK14" s="175" t="str">
        <f t="shared" si="22"/>
        <v/>
      </c>
      <c r="AL14" s="194" t="str">
        <f t="shared" si="14"/>
        <v/>
      </c>
      <c r="AM14" s="156" t="e">
        <f t="shared" si="15"/>
        <v>#DIV/0!</v>
      </c>
      <c r="AN14" s="156" t="e">
        <f t="shared" si="23"/>
        <v>#DIV/0!</v>
      </c>
      <c r="AO14" s="156" t="e">
        <f>AN14+'Race #9'!AO14</f>
        <v>#DIV/0!</v>
      </c>
      <c r="AP14" s="120" t="str">
        <f>B14</f>
        <v>Pegasus</v>
      </c>
      <c r="AQ14" s="81"/>
    </row>
    <row r="15" spans="2:46" ht="30" customHeight="1" x14ac:dyDescent="0.2">
      <c r="B15" s="348" t="str">
        <f>'2026 Applebee Finish Summary'!I16</f>
        <v>Triton</v>
      </c>
      <c r="C15" s="424" t="str">
        <f>'2026 Applebee Finish Summary'!J16</f>
        <v>Hans Christian 43</v>
      </c>
      <c r="D15" s="424" t="str">
        <f>'2026 Applebee Finish Summary'!K16</f>
        <v>Alex Parks</v>
      </c>
      <c r="E15" s="46">
        <f>'Handicaps-Roster'!G17</f>
        <v>162</v>
      </c>
      <c r="F15" s="46">
        <f>'Handicaps-Roster'!H17</f>
        <v>177</v>
      </c>
      <c r="G15" s="46">
        <f>'Race #9'!AH15</f>
        <v>194.4</v>
      </c>
      <c r="H15" s="58" t="e">
        <f t="shared" si="0"/>
        <v>#DIV/0!</v>
      </c>
      <c r="I15" s="46" t="e">
        <f>'Race #9'!AI15</f>
        <v>#DIV/0!</v>
      </c>
      <c r="J15" s="58" t="e">
        <f t="shared" si="1"/>
        <v>#DIV/0!</v>
      </c>
      <c r="K15" s="412" t="str">
        <f t="shared" si="17"/>
        <v>No</v>
      </c>
      <c r="L15" s="334">
        <f>IF(K15="Yes",1,0)</f>
        <v>0</v>
      </c>
      <c r="M15" s="329"/>
      <c r="N15" s="329"/>
      <c r="O15" s="34">
        <f t="shared" si="18"/>
        <v>0</v>
      </c>
      <c r="P15" s="337" t="str">
        <f t="shared" si="3"/>
        <v/>
      </c>
      <c r="Q15" s="160">
        <f>N15-M15</f>
        <v>0</v>
      </c>
      <c r="R15" s="161">
        <f>HOUR(Q15)*3600+MINUTE(Q15)*60+SECOND(Q15)</f>
        <v>0</v>
      </c>
      <c r="S15" s="161">
        <f t="shared" si="4"/>
        <v>0</v>
      </c>
      <c r="T15" s="331" t="s">
        <v>140</v>
      </c>
      <c r="U15" s="335" t="str">
        <f>IF(O15=1,IF(T15="No",I15,G15),"")</f>
        <v/>
      </c>
      <c r="V15" s="336">
        <f t="shared" si="5"/>
        <v>0</v>
      </c>
      <c r="W15" s="336">
        <f t="shared" si="27"/>
        <v>0</v>
      </c>
      <c r="X15" s="161">
        <f>R15-S15+V15</f>
        <v>0</v>
      </c>
      <c r="Y15" s="34" t="e">
        <f>IF(T15="Yes",R15*H15,R15*J15)</f>
        <v>#DIV/0!</v>
      </c>
      <c r="Z15" s="62" t="str">
        <f t="shared" si="7"/>
        <v/>
      </c>
      <c r="AA15" s="62" t="e">
        <f t="shared" si="8"/>
        <v>#DIV/0!</v>
      </c>
      <c r="AB15" s="169" t="str">
        <f t="shared" si="9"/>
        <v/>
      </c>
      <c r="AC15" s="173">
        <f t="shared" si="10"/>
        <v>0</v>
      </c>
      <c r="AD15" s="34" t="e">
        <f t="shared" si="11"/>
        <v>#DIV/0!</v>
      </c>
      <c r="AE15" s="34" t="e">
        <f t="shared" si="12"/>
        <v>#DIV/0!</v>
      </c>
      <c r="AF15" s="34" t="e">
        <f>IF(AE15&gt;30,30,IF(AE15&lt;-30,-30,(AE15)))</f>
        <v>#DIV/0!</v>
      </c>
      <c r="AG15" s="78" t="e">
        <f t="shared" si="13"/>
        <v>#DIV/0!</v>
      </c>
      <c r="AH15" s="166">
        <f>MIN(MAX(IF(T15="Yes",G15+AG15,G15),'Handicaps-Roster'!L17),'Handicaps-Roster'!M17)</f>
        <v>194.4</v>
      </c>
      <c r="AI15" s="166" t="e">
        <f>MIN(MAX(IF(T15="No",I15+AG15,I15),'Handicaps-Roster'!N17),'Handicaps-Roster'!O17)</f>
        <v>#DIV/0!</v>
      </c>
      <c r="AJ15" s="174" t="e">
        <f>AC15+'Race #9'!AJ15</f>
        <v>#DIV/0!</v>
      </c>
      <c r="AK15" s="175" t="str">
        <f>IF(O15=1,IF(T15="Yes",E15,F15),"")</f>
        <v/>
      </c>
      <c r="AL15" s="194" t="str">
        <f t="shared" si="14"/>
        <v/>
      </c>
      <c r="AM15" s="156" t="e">
        <f t="shared" si="15"/>
        <v>#DIV/0!</v>
      </c>
      <c r="AN15" s="156" t="e">
        <f>IF(AM15=1,5,IF(AM15=2,4,IF(AM15=3,3,IF(AM15=4,2,IF(AM15=5,1,0)))))+O15</f>
        <v>#DIV/0!</v>
      </c>
      <c r="AO15" s="156" t="e">
        <f>AN15+'Race #9'!AO15</f>
        <v>#DIV/0!</v>
      </c>
      <c r="AP15" s="120" t="str">
        <f>B15</f>
        <v>Triton</v>
      </c>
      <c r="AQ15" s="81"/>
    </row>
    <row r="16" spans="2:46" ht="30" customHeight="1" x14ac:dyDescent="0.2">
      <c r="B16" s="349" t="str">
        <f>'2026 Applebee Finish Summary'!I17</f>
        <v>Lone Gull</v>
      </c>
      <c r="C16" s="425" t="str">
        <f>'2026 Applebee Finish Summary'!J17</f>
        <v>Cal 20</v>
      </c>
      <c r="D16" s="425" t="str">
        <f>'2026 Applebee Finish Summary'!K17</f>
        <v>Kevin Savage</v>
      </c>
      <c r="E16" s="162">
        <f>'Handicaps-Roster'!G18</f>
        <v>280</v>
      </c>
      <c r="F16" s="162">
        <f>'Handicaps-Roster'!H18</f>
        <v>288</v>
      </c>
      <c r="G16" s="162">
        <f>'Race #9'!AH16</f>
        <v>280</v>
      </c>
      <c r="H16" s="61" t="e">
        <f t="shared" ref="H16:H17" si="28">$E$31/($E$24+G16)</f>
        <v>#DIV/0!</v>
      </c>
      <c r="I16" s="162" t="e">
        <f>'Race #9'!AI16</f>
        <v>#DIV/0!</v>
      </c>
      <c r="J16" s="61" t="e">
        <f t="shared" ref="J16:J17" si="29">$E$31/($E$24+I16)</f>
        <v>#DIV/0!</v>
      </c>
      <c r="K16" s="414" t="str">
        <f t="shared" si="17"/>
        <v>No</v>
      </c>
      <c r="L16" s="328">
        <f t="shared" ref="L16:L17" si="30">IF(K16="Yes",1,0)</f>
        <v>0</v>
      </c>
      <c r="M16" s="329"/>
      <c r="N16" s="329"/>
      <c r="O16" s="59">
        <f t="shared" si="18"/>
        <v>0</v>
      </c>
      <c r="P16" s="337" t="str">
        <f t="shared" si="3"/>
        <v/>
      </c>
      <c r="Q16" s="163">
        <f t="shared" ref="Q16:Q17" si="31">N16-M16</f>
        <v>0</v>
      </c>
      <c r="R16" s="164">
        <f t="shared" ref="R16:R17" si="32">HOUR(Q16)*3600+MINUTE(Q16)*60+SECOND(Q16)</f>
        <v>0</v>
      </c>
      <c r="S16" s="164">
        <f t="shared" ref="S16:S17" si="33">IF(N16&gt;0,($I16*$E$20),0)</f>
        <v>0</v>
      </c>
      <c r="T16" s="331" t="s">
        <v>140</v>
      </c>
      <c r="U16" s="332" t="str">
        <f t="shared" ref="U16:U17" si="34">IF(O16=1,IF(T16="No",I16,G16),"")</f>
        <v/>
      </c>
      <c r="V16" s="333">
        <f t="shared" si="5"/>
        <v>0</v>
      </c>
      <c r="W16" s="333">
        <f t="shared" si="27"/>
        <v>0</v>
      </c>
      <c r="X16" s="164">
        <f t="shared" ref="X16:X17" si="35">R16-S16+V16</f>
        <v>0</v>
      </c>
      <c r="Y16" s="59" t="e">
        <f t="shared" ref="Y16:Y17" si="36">IF(T16="Yes",R16*H16,R16*J16)</f>
        <v>#DIV/0!</v>
      </c>
      <c r="Z16" s="77" t="str">
        <f t="shared" si="7"/>
        <v/>
      </c>
      <c r="AA16" s="77" t="e">
        <f t="shared" si="8"/>
        <v>#DIV/0!</v>
      </c>
      <c r="AB16" s="169" t="str">
        <f t="shared" ref="AB16:AB17" si="37">IF($E$21="Yes",Z16,AA16)</f>
        <v/>
      </c>
      <c r="AC16" s="173">
        <f t="shared" ref="AC16:AC17" si="38">IF($E$21="Yes",IF(Z16=1,5,IF(Z16=2,4,IF(Z16=3,3,IF(Z16=4,2,IF(Z16=5,1,0))))),IF(AA16=1,5,IF(AA16=2,4,IF(AA16=3,3,IF(AA16=4,2,IF(AA16=5,1,0))))))+L16</f>
        <v>0</v>
      </c>
      <c r="AD16" s="59" t="e">
        <f t="shared" ref="AD16:AD17" si="39">Y16/$E$20</f>
        <v>#DIV/0!</v>
      </c>
      <c r="AE16" s="59" t="e">
        <f t="shared" ref="AE16:AE17" si="40">IF(AD16&gt;0,((Y16/$E$20)-$E$29),0)</f>
        <v>#DIV/0!</v>
      </c>
      <c r="AF16" s="59" t="e">
        <f t="shared" ref="AF16:AF17" si="41">IF(AE16&gt;30,30,IF(AE16&lt;-30,-30,(AE16)))</f>
        <v>#DIV/0!</v>
      </c>
      <c r="AG16" s="60" t="e">
        <f t="shared" ref="AG16:AG17" si="42">AF16*$E$22</f>
        <v>#DIV/0!</v>
      </c>
      <c r="AH16" s="165">
        <f>MIN(MAX(IF(T16="Yes",G16+AG16,G16),'Handicaps-Roster'!L18),'Handicaps-Roster'!M18)</f>
        <v>280</v>
      </c>
      <c r="AI16" s="165" t="e">
        <f>MIN(MAX(IF(T16="No",I16+AG16,I16),'Handicaps-Roster'!N18),'Handicaps-Roster'!O18)</f>
        <v>#DIV/0!</v>
      </c>
      <c r="AJ16" s="174" t="e">
        <f>AC16+'Race #9'!AJ16</f>
        <v>#DIV/0!</v>
      </c>
      <c r="AK16" s="176" t="str">
        <f t="shared" ref="AK16:AK17" si="43">IF(O16=1,IF(T16="Yes",E16,F16),"")</f>
        <v/>
      </c>
      <c r="AL16" s="195" t="str">
        <f t="shared" ref="AL16:AL17" si="44">IFERROR((($AN$22/($E$24+AK16))*R16),"")</f>
        <v/>
      </c>
      <c r="AM16" s="156" t="e">
        <f t="shared" si="15"/>
        <v>#DIV/0!</v>
      </c>
      <c r="AN16" s="156" t="e">
        <f t="shared" ref="AN16:AN17" si="45">IF(AM16=1,5,IF(AM16=2,4,IF(AM16=3,3,IF(AM16=4,2,IF(AM16=5,1,0)))))+O16</f>
        <v>#DIV/0!</v>
      </c>
      <c r="AO16" s="156" t="e">
        <f>AN16+'Race #9'!AO16</f>
        <v>#DIV/0!</v>
      </c>
      <c r="AP16" s="158" t="str">
        <f t="shared" ref="AP16:AP17" si="46">B16</f>
        <v>Lone Gull</v>
      </c>
      <c r="AQ16" s="81"/>
    </row>
    <row r="17" spans="2:43" ht="30" customHeight="1" thickBot="1" x14ac:dyDescent="0.25">
      <c r="B17" s="396">
        <f>'2026 Applebee Finish Summary'!I18</f>
        <v>0</v>
      </c>
      <c r="C17" s="426">
        <f>'2026 Applebee Finish Summary'!J18</f>
        <v>0</v>
      </c>
      <c r="D17" s="426">
        <f>'2026 Applebee Finish Summary'!K18</f>
        <v>0</v>
      </c>
      <c r="E17" s="275">
        <f>'Handicaps-Roster'!G19</f>
        <v>0</v>
      </c>
      <c r="F17" s="275">
        <f>'Handicaps-Roster'!H19</f>
        <v>0</v>
      </c>
      <c r="G17" s="275">
        <f>'Race #9'!AH17</f>
        <v>0</v>
      </c>
      <c r="H17" s="276" t="e">
        <f t="shared" si="28"/>
        <v>#DIV/0!</v>
      </c>
      <c r="I17" s="275" t="e">
        <f>'Race #9'!AI17</f>
        <v>#DIV/0!</v>
      </c>
      <c r="J17" s="276" t="e">
        <f t="shared" si="29"/>
        <v>#DIV/0!</v>
      </c>
      <c r="K17" s="413" t="str">
        <f t="shared" si="17"/>
        <v>No</v>
      </c>
      <c r="L17" s="342">
        <f t="shared" si="30"/>
        <v>0</v>
      </c>
      <c r="M17" s="338"/>
      <c r="N17" s="338"/>
      <c r="O17" s="277">
        <f t="shared" si="18"/>
        <v>0</v>
      </c>
      <c r="P17" s="339" t="str">
        <f t="shared" si="3"/>
        <v/>
      </c>
      <c r="Q17" s="278">
        <f t="shared" si="31"/>
        <v>0</v>
      </c>
      <c r="R17" s="279">
        <f t="shared" si="32"/>
        <v>0</v>
      </c>
      <c r="S17" s="279">
        <f t="shared" si="33"/>
        <v>0</v>
      </c>
      <c r="T17" s="340" t="s">
        <v>140</v>
      </c>
      <c r="U17" s="395" t="str">
        <f t="shared" si="34"/>
        <v/>
      </c>
      <c r="V17" s="343">
        <f t="shared" si="5"/>
        <v>0</v>
      </c>
      <c r="W17" s="343">
        <f t="shared" si="27"/>
        <v>0</v>
      </c>
      <c r="X17" s="279">
        <f t="shared" si="35"/>
        <v>0</v>
      </c>
      <c r="Y17" s="277" t="e">
        <f t="shared" si="36"/>
        <v>#DIV/0!</v>
      </c>
      <c r="Z17" s="280" t="str">
        <f t="shared" si="7"/>
        <v/>
      </c>
      <c r="AA17" s="280" t="e">
        <f t="shared" si="8"/>
        <v>#DIV/0!</v>
      </c>
      <c r="AB17" s="171" t="str">
        <f t="shared" si="37"/>
        <v/>
      </c>
      <c r="AC17" s="177">
        <f t="shared" si="38"/>
        <v>0</v>
      </c>
      <c r="AD17" s="277" t="e">
        <f t="shared" si="39"/>
        <v>#DIV/0!</v>
      </c>
      <c r="AE17" s="277" t="e">
        <f t="shared" si="40"/>
        <v>#DIV/0!</v>
      </c>
      <c r="AF17" s="277" t="e">
        <f t="shared" si="41"/>
        <v>#DIV/0!</v>
      </c>
      <c r="AG17" s="281" t="e">
        <f t="shared" si="42"/>
        <v>#DIV/0!</v>
      </c>
      <c r="AH17" s="282">
        <f>MIN(MAX(IF(T17="Yes",G17+AG17,G17),'Handicaps-Roster'!L19),'Handicaps-Roster'!M19)</f>
        <v>0</v>
      </c>
      <c r="AI17" s="282" t="e">
        <f>MIN(MAX(IF(T17="No",I17+AG17,I17),'Handicaps-Roster'!N19),'Handicaps-Roster'!O19)</f>
        <v>#DIV/0!</v>
      </c>
      <c r="AJ17" s="178" t="e">
        <f>AC17+'Race #9'!AJ17</f>
        <v>#DIV/0!</v>
      </c>
      <c r="AK17" s="287" t="str">
        <f t="shared" si="43"/>
        <v/>
      </c>
      <c r="AL17" s="286" t="str">
        <f t="shared" si="44"/>
        <v/>
      </c>
      <c r="AM17" s="157" t="e">
        <f t="shared" si="15"/>
        <v>#DIV/0!</v>
      </c>
      <c r="AN17" s="157" t="e">
        <f t="shared" si="45"/>
        <v>#DIV/0!</v>
      </c>
      <c r="AO17" s="157" t="e">
        <f>AN17+'Race #9'!AO17</f>
        <v>#DIV/0!</v>
      </c>
      <c r="AP17" s="284">
        <f t="shared" si="46"/>
        <v>0</v>
      </c>
      <c r="AQ17" s="81"/>
    </row>
    <row r="18" spans="2:43" ht="30" customHeight="1" x14ac:dyDescent="0.2">
      <c r="AO18" s="81"/>
    </row>
    <row r="19" spans="2:43" ht="16" thickBot="1" x14ac:dyDescent="0.25">
      <c r="B19" s="4"/>
      <c r="E19" s="5"/>
      <c r="F19" s="11"/>
      <c r="G19" s="5"/>
      <c r="H19" s="11"/>
      <c r="I19" s="11"/>
      <c r="J19" s="11"/>
      <c r="K19" s="11"/>
      <c r="L19" s="11"/>
      <c r="M19" s="11"/>
      <c r="N19" s="13"/>
      <c r="O19" s="13"/>
      <c r="P19" s="11"/>
      <c r="Q19" s="11"/>
      <c r="R19" s="11"/>
      <c r="S19" s="8"/>
      <c r="T19" s="89" t="s">
        <v>146</v>
      </c>
      <c r="U19" s="11"/>
      <c r="V19" s="11"/>
      <c r="W19" s="13"/>
      <c r="X19" s="13"/>
      <c r="Y19" s="18"/>
      <c r="Z19" s="18"/>
      <c r="AA19" s="13"/>
      <c r="AB19" s="13"/>
      <c r="AC19" s="89" t="s">
        <v>186</v>
      </c>
      <c r="AD19" s="13"/>
      <c r="AE19" s="15"/>
      <c r="AF19" s="16"/>
      <c r="AG19" s="11"/>
      <c r="AH19" s="11"/>
      <c r="AI19" s="5"/>
    </row>
    <row r="20" spans="2:43" ht="18" customHeight="1" x14ac:dyDescent="0.35">
      <c r="D20" s="87" t="s">
        <v>141</v>
      </c>
      <c r="E20" s="86">
        <f>Z30</f>
        <v>0</v>
      </c>
      <c r="G20" s="481" t="s">
        <v>142</v>
      </c>
      <c r="H20" s="482"/>
      <c r="I20" s="511" t="s">
        <v>102</v>
      </c>
      <c r="J20" s="482"/>
      <c r="K20" s="516" t="s">
        <v>143</v>
      </c>
      <c r="L20" s="493"/>
      <c r="M20" s="516" t="s">
        <v>144</v>
      </c>
      <c r="N20" s="491"/>
      <c r="P20" s="512" t="s">
        <v>145</v>
      </c>
      <c r="Q20" s="513"/>
      <c r="U20" s="89" t="s">
        <v>147</v>
      </c>
      <c r="W20" s="89" t="s">
        <v>148</v>
      </c>
      <c r="Z20" s="233" t="s">
        <v>149</v>
      </c>
      <c r="AK20" s="521" t="s">
        <v>150</v>
      </c>
      <c r="AL20" s="500"/>
      <c r="AM20" s="500"/>
      <c r="AN20" s="501"/>
    </row>
    <row r="21" spans="2:43" ht="18" customHeight="1" x14ac:dyDescent="0.2">
      <c r="D21" s="87" t="s">
        <v>151</v>
      </c>
      <c r="E21" s="24" t="s">
        <v>139</v>
      </c>
      <c r="G21" s="477" t="str">
        <f>IF($E$27&gt;0,"First Place","")</f>
        <v/>
      </c>
      <c r="H21" s="478"/>
      <c r="I21" s="483" t="str">
        <f>IF($E$27&gt;0,VLOOKUP(1,$AB$4:$AP$17,15,FALSE),"")</f>
        <v/>
      </c>
      <c r="J21" s="484"/>
      <c r="K21" s="514" t="str">
        <f t="shared" ref="K21:K32" si="47">IFERROR(VLOOKUP(I21,$B$4:$Y$17,24,0)-_xlfn.MINIFS($Y$4:$Y$17,$Y$4:$Y$17,"&gt;0"),"")</f>
        <v/>
      </c>
      <c r="L21" s="515"/>
      <c r="M21" s="514" t="str">
        <f t="shared" ref="M21:M32" si="48">IFERROR(VLOOKUP(I21,$B$4:$X$17,23,0)-_xlfn.MINIFS($X$4:$X$17,$X$4:$X$17,"&gt;0"),"")</f>
        <v/>
      </c>
      <c r="N21" s="517"/>
      <c r="P21" s="115" t="s">
        <v>93</v>
      </c>
      <c r="Q21" s="115" t="s">
        <v>152</v>
      </c>
      <c r="U21" s="30"/>
      <c r="V21" s="30"/>
      <c r="AK21" s="147" t="s">
        <v>153</v>
      </c>
      <c r="AL21" s="148"/>
      <c r="AM21" s="148"/>
      <c r="AN21" s="154" t="e">
        <f>SUM(AK4:AK17)/E27</f>
        <v>#DIV/0!</v>
      </c>
    </row>
    <row r="22" spans="2:43" ht="18" customHeight="1" x14ac:dyDescent="0.2">
      <c r="D22" s="87" t="s">
        <v>154</v>
      </c>
      <c r="E22" s="250">
        <v>0.1</v>
      </c>
      <c r="G22" s="477" t="str">
        <f>IF(E27&gt;1,"Second Place","")</f>
        <v/>
      </c>
      <c r="H22" s="478"/>
      <c r="I22" s="483" t="str">
        <f>IF($E$27&gt;1,VLOOKUP(2,$AB$4:$AP$17,15,FALSE),"")</f>
        <v/>
      </c>
      <c r="J22" s="484"/>
      <c r="K22" s="514" t="str">
        <f t="shared" si="47"/>
        <v/>
      </c>
      <c r="L22" s="515"/>
      <c r="M22" s="514" t="str">
        <f t="shared" si="48"/>
        <v/>
      </c>
      <c r="N22" s="517"/>
      <c r="P22" s="116">
        <v>2</v>
      </c>
      <c r="Q22" s="117">
        <v>1</v>
      </c>
      <c r="U22" s="430" t="s">
        <v>193</v>
      </c>
      <c r="V22" s="430"/>
      <c r="W22" s="430"/>
      <c r="X22" s="107"/>
      <c r="Y22" s="107"/>
      <c r="Z22" s="429"/>
      <c r="AA22" s="148"/>
      <c r="AB22" s="148"/>
      <c r="AK22" s="147" t="s">
        <v>155</v>
      </c>
      <c r="AL22" s="148"/>
      <c r="AM22" s="148"/>
      <c r="AN22" s="154" t="e">
        <f>AN21+E24</f>
        <v>#DIV/0!</v>
      </c>
    </row>
    <row r="23" spans="2:43" ht="18" customHeight="1" thickBot="1" x14ac:dyDescent="0.25">
      <c r="D23" s="87" t="s">
        <v>156</v>
      </c>
      <c r="E23" s="94" t="s">
        <v>174</v>
      </c>
      <c r="G23" s="477" t="str">
        <f>IF(E27&gt;2,"Third Place","")</f>
        <v/>
      </c>
      <c r="H23" s="478"/>
      <c r="I23" s="483" t="str">
        <f>IF($E$27&gt;2,VLOOKUP(3,$AB$4:$AP$17,15,FALSE),"")</f>
        <v/>
      </c>
      <c r="J23" s="484"/>
      <c r="K23" s="514" t="str">
        <f t="shared" si="47"/>
        <v/>
      </c>
      <c r="L23" s="515"/>
      <c r="M23" s="514" t="str">
        <f t="shared" si="48"/>
        <v/>
      </c>
      <c r="N23" s="517"/>
      <c r="P23" s="118">
        <v>3</v>
      </c>
      <c r="Q23" s="108">
        <v>2</v>
      </c>
      <c r="U23" s="430"/>
      <c r="V23" s="430"/>
      <c r="W23" s="430"/>
      <c r="X23" s="107"/>
      <c r="Y23" s="107"/>
      <c r="Z23" s="429"/>
      <c r="AA23" s="148"/>
      <c r="AB23" s="148"/>
      <c r="AK23" s="149" t="s">
        <v>158</v>
      </c>
      <c r="AL23" s="150"/>
      <c r="AM23" s="150"/>
      <c r="AN23" s="152" t="e">
        <f>AN22/(AN21+E24)</f>
        <v>#DIV/0!</v>
      </c>
    </row>
    <row r="24" spans="2:43" ht="18" customHeight="1" x14ac:dyDescent="0.2">
      <c r="D24" s="87" t="s">
        <v>159</v>
      </c>
      <c r="E24" s="249">
        <f>VLOOKUP(E23,I36:K38,3,0)</f>
        <v>480</v>
      </c>
      <c r="G24" s="477" t="str">
        <f>IF(E27&gt;3,"Fourth Place","")</f>
        <v/>
      </c>
      <c r="H24" s="478"/>
      <c r="I24" s="483" t="str">
        <f>IF($E$27&gt;3,VLOOKUP(4,$AB$4:$AP$17,15,FALSE),"")</f>
        <v/>
      </c>
      <c r="J24" s="484"/>
      <c r="K24" s="514" t="str">
        <f t="shared" si="47"/>
        <v/>
      </c>
      <c r="L24" s="515"/>
      <c r="M24" s="514" t="str">
        <f t="shared" si="48"/>
        <v/>
      </c>
      <c r="N24" s="517"/>
      <c r="P24" s="118">
        <v>4</v>
      </c>
      <c r="Q24" s="108">
        <v>2</v>
      </c>
      <c r="U24" s="430"/>
      <c r="V24" s="430"/>
      <c r="W24" s="430"/>
      <c r="X24" s="107"/>
      <c r="Y24" s="107"/>
      <c r="Z24" s="429"/>
      <c r="AA24" s="148"/>
      <c r="AB24" s="148"/>
    </row>
    <row r="25" spans="2:43" ht="18" customHeight="1" x14ac:dyDescent="0.2">
      <c r="D25" s="95"/>
      <c r="E25" s="96"/>
      <c r="G25" s="477" t="str">
        <f>IF(E27&gt;4,"Fifth Place","")</f>
        <v/>
      </c>
      <c r="H25" s="478"/>
      <c r="I25" s="483" t="str">
        <f>IF($E$27&gt;4,VLOOKUP(5,$AB$4:$AP$17,15,FALSE),"")</f>
        <v/>
      </c>
      <c r="J25" s="484"/>
      <c r="K25" s="514" t="str">
        <f t="shared" si="47"/>
        <v/>
      </c>
      <c r="L25" s="515"/>
      <c r="M25" s="514" t="str">
        <f t="shared" si="48"/>
        <v/>
      </c>
      <c r="N25" s="517"/>
      <c r="P25" s="118">
        <v>5</v>
      </c>
      <c r="Q25" s="108">
        <v>2</v>
      </c>
      <c r="U25" s="430"/>
      <c r="V25" s="430"/>
      <c r="W25" s="430"/>
      <c r="X25" s="107"/>
      <c r="Y25" s="107"/>
      <c r="Z25" s="429"/>
      <c r="AA25" s="148"/>
      <c r="AB25" s="148"/>
    </row>
    <row r="26" spans="2:43" ht="18" customHeight="1" x14ac:dyDescent="0.2">
      <c r="D26" s="87" t="s">
        <v>160</v>
      </c>
      <c r="E26" s="23">
        <f>SUM(L4:L17)</f>
        <v>0</v>
      </c>
      <c r="G26" s="477" t="str">
        <f>IF($E$27&gt;5,"Sixth Place","")</f>
        <v/>
      </c>
      <c r="H26" s="478"/>
      <c r="I26" s="483" t="str">
        <f>IF($E$27&gt;5,VLOOKUP(6,$AB$4:$AP$17,15,FALSE),"")</f>
        <v/>
      </c>
      <c r="J26" s="484"/>
      <c r="K26" s="514" t="str">
        <f t="shared" si="47"/>
        <v/>
      </c>
      <c r="L26" s="515"/>
      <c r="M26" s="514" t="str">
        <f t="shared" si="48"/>
        <v/>
      </c>
      <c r="N26" s="517"/>
      <c r="P26" s="118">
        <v>6</v>
      </c>
      <c r="Q26" s="108">
        <v>3</v>
      </c>
      <c r="U26" s="430"/>
      <c r="V26" s="430"/>
      <c r="W26" s="430"/>
      <c r="X26" s="107"/>
      <c r="Y26" s="107"/>
      <c r="Z26" s="429"/>
      <c r="AA26" s="148"/>
      <c r="AB26" s="148"/>
    </row>
    <row r="27" spans="2:43" ht="18" customHeight="1" x14ac:dyDescent="0.2">
      <c r="D27" s="87" t="s">
        <v>161</v>
      </c>
      <c r="E27" s="23">
        <f>SUM(O4:O17)</f>
        <v>0</v>
      </c>
      <c r="G27" s="477" t="str">
        <f>IF($E$27&gt;6,"Seventh Place","")</f>
        <v/>
      </c>
      <c r="H27" s="478"/>
      <c r="I27" s="483" t="str">
        <f>IF($E$27&gt;6,VLOOKUP(7,$AB$4:$AP$17,15,FALSE),"")</f>
        <v/>
      </c>
      <c r="J27" s="484"/>
      <c r="K27" s="514" t="str">
        <f t="shared" si="47"/>
        <v/>
      </c>
      <c r="L27" s="515"/>
      <c r="M27" s="514" t="str">
        <f t="shared" si="48"/>
        <v/>
      </c>
      <c r="N27" s="517"/>
      <c r="P27" s="118">
        <v>7</v>
      </c>
      <c r="Q27" s="108">
        <v>3</v>
      </c>
      <c r="U27" s="430"/>
      <c r="V27" s="430"/>
      <c r="W27" s="430"/>
      <c r="X27" s="107"/>
      <c r="Y27" s="107"/>
      <c r="Z27" s="429"/>
      <c r="AA27" s="148"/>
      <c r="AB27" s="148"/>
    </row>
    <row r="28" spans="2:43" ht="18" customHeight="1" x14ac:dyDescent="0.2">
      <c r="D28" s="87" t="s">
        <v>162</v>
      </c>
      <c r="E28" s="25" t="e">
        <f>VLOOKUP(E27,P22:Q32,2,FALSE)</f>
        <v>#N/A</v>
      </c>
      <c r="G28" s="477" t="str">
        <f>IF(E27&gt;7,"Eighth Place","")</f>
        <v/>
      </c>
      <c r="H28" s="478"/>
      <c r="I28" s="483" t="str">
        <f>IF($E$27&gt;7,VLOOKUP(8,$AB$4:$AP$17,15,FALSE),"")</f>
        <v/>
      </c>
      <c r="J28" s="484"/>
      <c r="K28" s="514" t="str">
        <f t="shared" si="47"/>
        <v/>
      </c>
      <c r="L28" s="515"/>
      <c r="M28" s="514" t="str">
        <f t="shared" si="48"/>
        <v/>
      </c>
      <c r="N28" s="517"/>
      <c r="P28" s="118">
        <v>8</v>
      </c>
      <c r="Q28" s="108">
        <v>3</v>
      </c>
      <c r="U28" s="430"/>
      <c r="V28" s="430"/>
      <c r="W28" s="430"/>
      <c r="X28" s="107"/>
      <c r="Y28" s="107"/>
      <c r="Z28" s="429"/>
      <c r="AA28" s="148"/>
      <c r="AB28" s="148"/>
    </row>
    <row r="29" spans="2:43" ht="18" customHeight="1" x14ac:dyDescent="0.2">
      <c r="D29" s="87" t="s">
        <v>163</v>
      </c>
      <c r="E29" s="26" t="e">
        <f>VLOOKUP(E28,AA4:AD17,4,FALSE)</f>
        <v>#N/A</v>
      </c>
      <c r="G29" s="477" t="str">
        <f>IF(E27&gt;8,"Ninth Place","")</f>
        <v/>
      </c>
      <c r="H29" s="478"/>
      <c r="I29" s="483" t="str">
        <f>IF($E$27&gt;8,VLOOKUP(9,$AB$4:$AP$17,15,FALSE),"")</f>
        <v/>
      </c>
      <c r="J29" s="484"/>
      <c r="K29" s="514" t="str">
        <f t="shared" si="47"/>
        <v/>
      </c>
      <c r="L29" s="515"/>
      <c r="M29" s="514" t="str">
        <f t="shared" si="48"/>
        <v/>
      </c>
      <c r="N29" s="517"/>
      <c r="P29" s="118">
        <v>9</v>
      </c>
      <c r="Q29" s="108">
        <v>4</v>
      </c>
      <c r="U29" s="430"/>
      <c r="V29" s="430"/>
      <c r="W29" s="430"/>
      <c r="X29" s="107"/>
      <c r="Y29" s="107"/>
      <c r="Z29" s="429"/>
      <c r="AA29" s="148"/>
      <c r="AB29" s="148"/>
    </row>
    <row r="30" spans="2:43" ht="18" customHeight="1" x14ac:dyDescent="0.2">
      <c r="D30" s="87" t="s">
        <v>153</v>
      </c>
      <c r="E30" s="181" t="e">
        <f>SUM(U4:U17)/E27</f>
        <v>#DIV/0!</v>
      </c>
      <c r="G30" s="477" t="str">
        <f>IF(E27&gt;9,"Tenth Place","")</f>
        <v/>
      </c>
      <c r="H30" s="478"/>
      <c r="I30" s="483" t="str">
        <f>IF($E$27&gt;9,VLOOKUP(10,$AB$4:$AP$17,15,FALSE),"")</f>
        <v/>
      </c>
      <c r="J30" s="484"/>
      <c r="K30" s="514" t="str">
        <f t="shared" si="47"/>
        <v/>
      </c>
      <c r="L30" s="515"/>
      <c r="M30" s="514" t="str">
        <f t="shared" si="48"/>
        <v/>
      </c>
      <c r="N30" s="517"/>
      <c r="P30" s="118">
        <v>10</v>
      </c>
      <c r="Q30" s="108">
        <v>4</v>
      </c>
      <c r="U30" s="148"/>
      <c r="V30" s="148"/>
      <c r="W30" s="430"/>
      <c r="X30" s="107"/>
      <c r="Y30" s="88" t="s">
        <v>164</v>
      </c>
      <c r="Z30" s="429">
        <f>SUM(Z22:Z26)</f>
        <v>0</v>
      </c>
      <c r="AA30" s="148"/>
      <c r="AB30" s="148"/>
    </row>
    <row r="31" spans="2:43" ht="18" customHeight="1" x14ac:dyDescent="0.2">
      <c r="D31" s="87" t="s">
        <v>155</v>
      </c>
      <c r="E31" s="434" t="e">
        <f>E24+E30</f>
        <v>#DIV/0!</v>
      </c>
      <c r="G31" s="477" t="str">
        <f>IF(E27&gt;10,"Eleventh Place","")</f>
        <v/>
      </c>
      <c r="H31" s="478"/>
      <c r="I31" s="483" t="str">
        <f>IF($E$27&gt;10,VLOOKUP(11,$AB$4:$AP$17,15,FALSE),"")</f>
        <v/>
      </c>
      <c r="J31" s="484"/>
      <c r="K31" s="514" t="str">
        <f t="shared" si="47"/>
        <v/>
      </c>
      <c r="L31" s="515"/>
      <c r="M31" s="514" t="str">
        <f t="shared" si="48"/>
        <v/>
      </c>
      <c r="N31" s="517"/>
      <c r="P31" s="118">
        <v>11</v>
      </c>
      <c r="Q31" s="108">
        <v>4</v>
      </c>
      <c r="W31" s="30"/>
    </row>
    <row r="32" spans="2:43" ht="18" customHeight="1" thickBot="1" x14ac:dyDescent="0.25">
      <c r="D32" s="87" t="s">
        <v>158</v>
      </c>
      <c r="E32" s="418" t="e">
        <f>E31/(E24+E30)</f>
        <v>#DIV/0!</v>
      </c>
      <c r="G32" s="479" t="str">
        <f>IF(E27&gt;11,"Twelth Place","")</f>
        <v/>
      </c>
      <c r="H32" s="480"/>
      <c r="I32" s="494" t="str">
        <f>IF($E$27&gt;11,VLOOKUP(12,$AB$4:$AP$17,15,FALSE),"")</f>
        <v/>
      </c>
      <c r="J32" s="495"/>
      <c r="K32" s="523" t="str">
        <f t="shared" si="47"/>
        <v/>
      </c>
      <c r="L32" s="525"/>
      <c r="M32" s="523" t="str">
        <f t="shared" si="48"/>
        <v/>
      </c>
      <c r="N32" s="524"/>
      <c r="P32" s="119">
        <v>12</v>
      </c>
      <c r="Q32" s="111">
        <v>5</v>
      </c>
      <c r="W32" s="30"/>
    </row>
    <row r="33" spans="4:36" ht="18" customHeight="1" x14ac:dyDescent="0.2"/>
    <row r="34" spans="4:36" ht="18" customHeight="1" x14ac:dyDescent="0.2">
      <c r="D34" s="87" t="s">
        <v>352</v>
      </c>
      <c r="E34" s="416">
        <f>_xlfn.MINIFS(Q4:Q17,Q4:Q17,"&gt;0")*86400</f>
        <v>0</v>
      </c>
      <c r="I34" s="505" t="s">
        <v>165</v>
      </c>
      <c r="J34" s="506"/>
      <c r="K34" s="507"/>
    </row>
    <row r="35" spans="4:36" x14ac:dyDescent="0.2">
      <c r="I35" s="97" t="s">
        <v>166</v>
      </c>
      <c r="J35" s="93" t="s">
        <v>167</v>
      </c>
      <c r="K35" s="98" t="s">
        <v>168</v>
      </c>
    </row>
    <row r="36" spans="4:36" x14ac:dyDescent="0.2">
      <c r="D36" s="88" t="s">
        <v>169</v>
      </c>
      <c r="E36" s="47" t="str">
        <f>IF(E21="Yes","Distance","Time")</f>
        <v>Distance</v>
      </c>
      <c r="I36" s="106" t="s">
        <v>170</v>
      </c>
      <c r="J36" s="107" t="s">
        <v>171</v>
      </c>
      <c r="K36" s="108">
        <v>600</v>
      </c>
      <c r="T36" s="4"/>
    </row>
    <row r="37" spans="4:36" x14ac:dyDescent="0.2">
      <c r="D37" s="2" t="s">
        <v>172</v>
      </c>
      <c r="I37" s="106" t="s">
        <v>157</v>
      </c>
      <c r="J37" s="126" t="s">
        <v>173</v>
      </c>
      <c r="K37" s="108">
        <v>550</v>
      </c>
    </row>
    <row r="38" spans="4:36" x14ac:dyDescent="0.2">
      <c r="D38" s="2"/>
      <c r="I38" s="109" t="s">
        <v>174</v>
      </c>
      <c r="J38" s="110" t="s">
        <v>175</v>
      </c>
      <c r="K38" s="111">
        <v>480</v>
      </c>
    </row>
    <row r="39" spans="4:36" x14ac:dyDescent="0.2">
      <c r="D39" s="2"/>
    </row>
    <row r="41" spans="4:36" x14ac:dyDescent="0.2">
      <c r="AJ41" s="1"/>
    </row>
    <row r="42" spans="4:36" x14ac:dyDescent="0.2">
      <c r="D42" s="2"/>
    </row>
    <row r="43" spans="4:36" x14ac:dyDescent="0.2">
      <c r="D43" s="2"/>
    </row>
    <row r="44" spans="4:36" x14ac:dyDescent="0.2">
      <c r="D44" s="2"/>
    </row>
  </sheetData>
  <mergeCells count="57">
    <mergeCell ref="U2:AJ2"/>
    <mergeCell ref="AK20:AN20"/>
    <mergeCell ref="AK2:AO2"/>
    <mergeCell ref="I25:J25"/>
    <mergeCell ref="I34:K34"/>
    <mergeCell ref="M32:N32"/>
    <mergeCell ref="M27:N27"/>
    <mergeCell ref="M28:N28"/>
    <mergeCell ref="M29:N29"/>
    <mergeCell ref="M30:N30"/>
    <mergeCell ref="M31:N31"/>
    <mergeCell ref="K32:L32"/>
    <mergeCell ref="I31:J31"/>
    <mergeCell ref="K27:L27"/>
    <mergeCell ref="K28:L28"/>
    <mergeCell ref="K29:L29"/>
    <mergeCell ref="K30:L30"/>
    <mergeCell ref="K31:L31"/>
    <mergeCell ref="I32:J32"/>
    <mergeCell ref="I26:J26"/>
    <mergeCell ref="I27:J27"/>
    <mergeCell ref="I28:J28"/>
    <mergeCell ref="I29:J29"/>
    <mergeCell ref="I30:J30"/>
    <mergeCell ref="P20:Q20"/>
    <mergeCell ref="K23:L23"/>
    <mergeCell ref="K24:L24"/>
    <mergeCell ref="K25:L25"/>
    <mergeCell ref="K26:L26"/>
    <mergeCell ref="M20:N20"/>
    <mergeCell ref="M21:N21"/>
    <mergeCell ref="M22:N22"/>
    <mergeCell ref="M23:N23"/>
    <mergeCell ref="M24:N24"/>
    <mergeCell ref="M25:N25"/>
    <mergeCell ref="M26:N26"/>
    <mergeCell ref="K20:L20"/>
    <mergeCell ref="K21:L21"/>
    <mergeCell ref="K22:L22"/>
    <mergeCell ref="G20:H20"/>
    <mergeCell ref="I22:J22"/>
    <mergeCell ref="I23:J23"/>
    <mergeCell ref="I24:J24"/>
    <mergeCell ref="G21:H21"/>
    <mergeCell ref="G22:H22"/>
    <mergeCell ref="G23:H23"/>
    <mergeCell ref="G24:H24"/>
    <mergeCell ref="I20:J20"/>
    <mergeCell ref="I21:J21"/>
    <mergeCell ref="G30:H30"/>
    <mergeCell ref="G31:H31"/>
    <mergeCell ref="G32:H32"/>
    <mergeCell ref="G25:H25"/>
    <mergeCell ref="G26:H26"/>
    <mergeCell ref="G27:H27"/>
    <mergeCell ref="G28:H28"/>
    <mergeCell ref="G29:H29"/>
  </mergeCells>
  <conditionalFormatting sqref="P4:P17">
    <cfRule type="cellIs" dxfId="3" priority="3" operator="equal">
      <formula>1</formula>
    </cfRule>
  </conditionalFormatting>
  <conditionalFormatting sqref="T4:U12 T13 T14:U17">
    <cfRule type="cellIs" dxfId="2" priority="1" operator="equal">
      <formula>"Yes"</formula>
    </cfRule>
  </conditionalFormatting>
  <dataValidations count="2">
    <dataValidation type="list" allowBlank="1" showInputMessage="1" showErrorMessage="1" sqref="E21 E25 K4:K17 T4:T17" xr:uid="{A5A09ED8-00F6-5547-93D6-B71155B3C932}">
      <formula1>$AT$4:$AT$5</formula1>
    </dataValidation>
    <dataValidation type="list" allowBlank="1" showInputMessage="1" showErrorMessage="1" sqref="E23" xr:uid="{CBC40B0B-667D-484F-AA9A-8E99E04B12FD}">
      <formula1>$I$36:$I$38</formula1>
    </dataValidation>
  </dataValidations>
  <printOptions horizontalCentered="1"/>
  <pageMargins left="0.7" right="0.7" top="0.75" bottom="0.75" header="0.3" footer="0.3"/>
  <pageSetup paperSize="9" scale="49" fitToWidth="2" orientation="landscape" r:id="rId1"/>
  <ignoredErrors>
    <ignoredError sqref="I6 I4 I8:I14" formula="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6F9A-AA2D-EF49-8D1A-1D319F6C7809}">
  <sheetPr>
    <pageSetUpPr fitToPage="1"/>
  </sheetPr>
  <dimension ref="B1:AT44"/>
  <sheetViews>
    <sheetView zoomScale="90" zoomScaleNormal="90" workbookViewId="0">
      <selection activeCell="T25" sqref="T25"/>
    </sheetView>
  </sheetViews>
  <sheetFormatPr baseColWidth="10" defaultColWidth="8.83203125" defaultRowHeight="15" x14ac:dyDescent="0.2"/>
  <cols>
    <col min="1" max="1" width="2.83203125" customWidth="1"/>
    <col min="2" max="2" width="12.33203125" customWidth="1"/>
    <col min="3" max="3" width="16.5" customWidth="1"/>
    <col min="4" max="4" width="32" customWidth="1"/>
    <col min="5" max="14" width="10.83203125" customWidth="1"/>
    <col min="15" max="15" width="10.83203125" style="1" customWidth="1"/>
    <col min="16" max="22" width="10.83203125" customWidth="1"/>
    <col min="23" max="26" width="10.83203125" style="1" customWidth="1"/>
    <col min="27" max="41" width="10.83203125" customWidth="1"/>
    <col min="42" max="42" width="16.83203125" customWidth="1"/>
    <col min="43" max="43" width="3.6640625" customWidth="1"/>
    <col min="44" max="44" width="17.5" customWidth="1"/>
    <col min="46" max="46" width="0" hidden="1" customWidth="1"/>
  </cols>
  <sheetData>
    <row r="1" spans="2:46" ht="15" customHeight="1" thickBot="1" x14ac:dyDescent="0.25"/>
    <row r="2" spans="2:46" ht="15" customHeight="1" thickBot="1" x14ac:dyDescent="0.25">
      <c r="B2" s="28" t="s">
        <v>200</v>
      </c>
      <c r="C2" s="17"/>
      <c r="D2" s="17"/>
      <c r="E2" s="17"/>
      <c r="F2" s="17"/>
      <c r="G2" s="17"/>
      <c r="H2" s="17"/>
      <c r="I2" s="17"/>
      <c r="L2" s="17"/>
      <c r="M2" s="17"/>
      <c r="N2" s="17"/>
      <c r="O2" s="29"/>
      <c r="P2" s="17"/>
      <c r="Q2" s="17"/>
      <c r="R2" s="17"/>
      <c r="S2" s="124"/>
      <c r="T2" s="17"/>
      <c r="U2" s="518" t="s">
        <v>0</v>
      </c>
      <c r="V2" s="519"/>
      <c r="W2" s="519"/>
      <c r="X2" s="519"/>
      <c r="Y2" s="519"/>
      <c r="Z2" s="519"/>
      <c r="AA2" s="519"/>
      <c r="AB2" s="519"/>
      <c r="AC2" s="519"/>
      <c r="AD2" s="519"/>
      <c r="AE2" s="519"/>
      <c r="AF2" s="519"/>
      <c r="AG2" s="519"/>
      <c r="AH2" s="519"/>
      <c r="AI2" s="519"/>
      <c r="AJ2" s="520"/>
      <c r="AK2" s="522" t="s">
        <v>1</v>
      </c>
      <c r="AL2" s="503"/>
      <c r="AM2" s="503"/>
      <c r="AN2" s="503"/>
      <c r="AO2" s="504"/>
    </row>
    <row r="3" spans="2:46" s="22" customFormat="1" ht="80" x14ac:dyDescent="0.2">
      <c r="B3" s="315" t="s">
        <v>9</v>
      </c>
      <c r="C3" s="316" t="s">
        <v>10</v>
      </c>
      <c r="D3" s="316" t="s">
        <v>104</v>
      </c>
      <c r="E3" s="317" t="s">
        <v>105</v>
      </c>
      <c r="F3" s="317" t="s">
        <v>106</v>
      </c>
      <c r="G3" s="318" t="s">
        <v>107</v>
      </c>
      <c r="H3" s="319" t="s">
        <v>108</v>
      </c>
      <c r="I3" s="318" t="s">
        <v>109</v>
      </c>
      <c r="J3" s="319" t="s">
        <v>110</v>
      </c>
      <c r="K3" s="319" t="s">
        <v>111</v>
      </c>
      <c r="L3" s="319" t="s">
        <v>112</v>
      </c>
      <c r="M3" s="319" t="s">
        <v>113</v>
      </c>
      <c r="N3" s="319" t="s">
        <v>114</v>
      </c>
      <c r="O3" s="317" t="s">
        <v>115</v>
      </c>
      <c r="P3" s="320" t="s">
        <v>116</v>
      </c>
      <c r="Q3" s="319" t="s">
        <v>117</v>
      </c>
      <c r="R3" s="319" t="s">
        <v>118</v>
      </c>
      <c r="S3" s="319" t="s">
        <v>119</v>
      </c>
      <c r="T3" s="317" t="s">
        <v>120</v>
      </c>
      <c r="U3" s="317" t="s">
        <v>279</v>
      </c>
      <c r="V3" s="321" t="s">
        <v>121</v>
      </c>
      <c r="W3" s="322" t="s">
        <v>122</v>
      </c>
      <c r="X3" s="321" t="s">
        <v>123</v>
      </c>
      <c r="Y3" s="323" t="s">
        <v>124</v>
      </c>
      <c r="Z3" s="324" t="s">
        <v>125</v>
      </c>
      <c r="AA3" s="323" t="s">
        <v>126</v>
      </c>
      <c r="AB3" s="325" t="s">
        <v>127</v>
      </c>
      <c r="AC3" s="325" t="s">
        <v>128</v>
      </c>
      <c r="AD3" s="326" t="s">
        <v>129</v>
      </c>
      <c r="AE3" s="326" t="s">
        <v>130</v>
      </c>
      <c r="AF3" s="326" t="s">
        <v>131</v>
      </c>
      <c r="AG3" s="326" t="s">
        <v>132</v>
      </c>
      <c r="AH3" s="326" t="s">
        <v>133</v>
      </c>
      <c r="AI3" s="326" t="s">
        <v>134</v>
      </c>
      <c r="AJ3" s="325" t="s">
        <v>135</v>
      </c>
      <c r="AK3" s="323" t="s">
        <v>279</v>
      </c>
      <c r="AL3" s="323" t="s">
        <v>124</v>
      </c>
      <c r="AM3" s="323" t="s">
        <v>126</v>
      </c>
      <c r="AN3" s="323" t="s">
        <v>136</v>
      </c>
      <c r="AO3" s="323" t="s">
        <v>137</v>
      </c>
      <c r="AP3" s="327" t="str">
        <f>B3</f>
        <v>Yacht Name</v>
      </c>
      <c r="AQ3" s="79"/>
      <c r="AR3" s="79" t="s">
        <v>138</v>
      </c>
    </row>
    <row r="4" spans="2:46" ht="30" customHeight="1" x14ac:dyDescent="0.2">
      <c r="B4" s="347" t="str">
        <f>'2026 Applebee Finish Summary'!I5</f>
        <v>Estella</v>
      </c>
      <c r="C4" s="422" t="str">
        <f>'2026 Applebee Finish Summary'!J5</f>
        <v>Saffier 33</v>
      </c>
      <c r="D4" s="422" t="str">
        <f>'2026 Applebee Finish Summary'!K5</f>
        <v>Doug Kilgren</v>
      </c>
      <c r="E4" s="162">
        <f>'Handicaps-Roster'!G6</f>
        <v>90</v>
      </c>
      <c r="F4" s="162">
        <f>'Handicaps-Roster'!H6</f>
        <v>110</v>
      </c>
      <c r="G4" s="162">
        <f>'Race #10'!AH4</f>
        <v>90</v>
      </c>
      <c r="H4" s="61" t="e">
        <f t="shared" ref="H4:H15" si="0">$E$31/($E$24+G4)</f>
        <v>#DIV/0!</v>
      </c>
      <c r="I4" s="162" t="e">
        <f>'Race #10'!AI4</f>
        <v>#DIV/0!</v>
      </c>
      <c r="J4" s="61" t="e">
        <f t="shared" ref="J4:J15" si="1">$E$31/($E$24+I4)</f>
        <v>#DIV/0!</v>
      </c>
      <c r="K4" s="61" t="str">
        <f>IF(N4&gt;0,"Yes","No")</f>
        <v>No</v>
      </c>
      <c r="L4" s="328">
        <f t="shared" ref="L4:L14" si="2">IF(K4="Yes",1,0)</f>
        <v>0</v>
      </c>
      <c r="M4" s="329"/>
      <c r="N4" s="329"/>
      <c r="O4" s="59">
        <f>IF(N4&gt;0,1,0)</f>
        <v>0</v>
      </c>
      <c r="P4" s="330" t="str">
        <f t="shared" ref="P4:P17" si="3">IF($N4=0,"",RANK($N4,$N$4:$N$17,1)-COUNTIF($N$4:$N$17,0))</f>
        <v/>
      </c>
      <c r="Q4" s="163">
        <f>N4-M4</f>
        <v>0</v>
      </c>
      <c r="R4" s="164">
        <f>HOUR(Q4)*3600+MINUTE(Q4)*60+SECOND(Q4)</f>
        <v>0</v>
      </c>
      <c r="S4" s="164">
        <f t="shared" ref="S4:S15" si="4">IF(N4&gt;0,($I4*$E$20),0)</f>
        <v>0</v>
      </c>
      <c r="T4" s="331" t="s">
        <v>140</v>
      </c>
      <c r="U4" s="332" t="str">
        <f>IF(O4=1,IF(T4="No",I4,G4),"")</f>
        <v/>
      </c>
      <c r="V4" s="333">
        <f t="shared" ref="V4:V17" si="5">IF(T4="Yes",((I4-G4)*$E$20),0)</f>
        <v>0</v>
      </c>
      <c r="W4" s="333">
        <f t="shared" ref="W4:W7" si="6">IF(T4="Yes",(-(J4-H4)*R4),0)</f>
        <v>0</v>
      </c>
      <c r="X4" s="164">
        <f>R4-S4+V4</f>
        <v>0</v>
      </c>
      <c r="Y4" s="59" t="e">
        <f>IF(T4="Yes",R4*H4,R4*J4)</f>
        <v>#DIV/0!</v>
      </c>
      <c r="Z4" s="77" t="str">
        <f t="shared" ref="Z4:Z17" si="7">IF($X4=0,"",RANK($X4,$X$4:$X$17,1)-COUNTIF($X$4:$X$17,0))</f>
        <v/>
      </c>
      <c r="AA4" s="77" t="e">
        <f t="shared" ref="AA4:AA17" si="8">IF($Y4=0,"",RANK($Y4,$Y$4:$Y$17,1)-COUNTIF($Y$4:$Y$17,0))</f>
        <v>#DIV/0!</v>
      </c>
      <c r="AB4" s="169" t="str">
        <f t="shared" ref="AB4:AB15" si="9">IF($E$21="Yes",Z4,AA4)</f>
        <v/>
      </c>
      <c r="AC4" s="173">
        <f t="shared" ref="AC4:AC15" si="10">IF($E$21="Yes",IF(Z4=1,5,IF(Z4=2,4,IF(Z4=3,3,IF(Z4=4,2,IF(Z4=5,1,0))))),IF(AA4=1,5,IF(AA4=2,4,IF(AA4=3,3,IF(AA4=4,2,IF(AA4=5,1,0))))))+L4</f>
        <v>0</v>
      </c>
      <c r="AD4" s="59" t="e">
        <f t="shared" ref="AD4:AD15" si="11">Y4/$E$20</f>
        <v>#DIV/0!</v>
      </c>
      <c r="AE4" s="59" t="e">
        <f t="shared" ref="AE4:AE15" si="12">IF(AD4&gt;0,((Y4/$E$20)-$E$29),0)</f>
        <v>#DIV/0!</v>
      </c>
      <c r="AF4" s="59" t="e">
        <f>IF(AE4&gt;30,30,IF(AE4&lt;-30,-30,(AE4)))</f>
        <v>#DIV/0!</v>
      </c>
      <c r="AG4" s="60" t="e">
        <f t="shared" ref="AG4:AG15" si="13">AF4*$E$22</f>
        <v>#DIV/0!</v>
      </c>
      <c r="AH4" s="165">
        <f>MIN(MAX(IF(T4="Yes",G4+AG4,G4),'Handicaps-Roster'!L6),'Handicaps-Roster'!M6)</f>
        <v>90</v>
      </c>
      <c r="AI4" s="165" t="e">
        <f>MIN(MAX(IF(T4="No",I4+AG4,I4),'Handicaps-Roster'!N6),'Handicaps-Roster'!O6)</f>
        <v>#DIV/0!</v>
      </c>
      <c r="AJ4" s="174" t="e">
        <f>AC4+'Race #10'!AJ4</f>
        <v>#DIV/0!</v>
      </c>
      <c r="AK4" s="176" t="str">
        <f>IF(O4=1,IF(T4="Yes",E4,F4),"")</f>
        <v/>
      </c>
      <c r="AL4" s="288" t="str">
        <f t="shared" ref="AL4:AL15" si="14">IFERROR((($AN$22/($E$24+AK4))*R4),"")</f>
        <v/>
      </c>
      <c r="AM4" s="156" t="e">
        <f t="shared" ref="AM4:AM17" si="15">IF($Y4=0,"",RANK($AL4,$AL$4:$AL$17,1)-COUNTIF($AL$4:$AL$17,0))</f>
        <v>#DIV/0!</v>
      </c>
      <c r="AN4" s="156" t="e">
        <f>IF(AM4=1,5,IF(AM4=2,4,IF(AM4=3,3,IF(AM4=4,2,IF(AM4=5,1,0)))))+O4</f>
        <v>#DIV/0!</v>
      </c>
      <c r="AO4" s="156" t="e">
        <f>AN4+'Race #10'!AO4</f>
        <v>#DIV/0!</v>
      </c>
      <c r="AP4" s="158" t="str">
        <f t="shared" ref="AP4:AP13" si="16">B4</f>
        <v>Estella</v>
      </c>
      <c r="AQ4" s="81"/>
      <c r="AT4" s="1" t="s">
        <v>139</v>
      </c>
    </row>
    <row r="5" spans="2:46" ht="30" customHeight="1" x14ac:dyDescent="0.2">
      <c r="B5" s="65" t="str">
        <f>'2026 Applebee Finish Summary'!I6</f>
        <v>Exit Strategy</v>
      </c>
      <c r="C5" s="423" t="str">
        <f>'2026 Applebee Finish Summary'!J6</f>
        <v>J Boats J-105</v>
      </c>
      <c r="D5" s="423" t="str">
        <f>'2026 Applebee Finish Summary'!K6</f>
        <v>John Stamos/John Woods</v>
      </c>
      <c r="E5" s="46">
        <f>'Handicaps-Roster'!G7</f>
        <v>87</v>
      </c>
      <c r="F5" s="46">
        <f>'Handicaps-Roster'!H7</f>
        <v>110</v>
      </c>
      <c r="G5" s="46">
        <f>'Race #10'!AH5</f>
        <v>78</v>
      </c>
      <c r="H5" s="58" t="e">
        <f t="shared" si="0"/>
        <v>#DIV/0!</v>
      </c>
      <c r="I5" s="46" t="e">
        <f>'Race #10'!AI5</f>
        <v>#DIV/0!</v>
      </c>
      <c r="J5" s="58" t="e">
        <f t="shared" si="1"/>
        <v>#DIV/0!</v>
      </c>
      <c r="K5" s="58" t="str">
        <f t="shared" ref="K5:K17" si="17">IF(N5&gt;0,"Yes","No")</f>
        <v>No</v>
      </c>
      <c r="L5" s="334">
        <f t="shared" si="2"/>
        <v>0</v>
      </c>
      <c r="M5" s="329"/>
      <c r="N5" s="329"/>
      <c r="O5" s="34">
        <f t="shared" ref="O5:O17" si="18">IF(N5&gt;0,1,0)</f>
        <v>0</v>
      </c>
      <c r="P5" s="330" t="str">
        <f t="shared" si="3"/>
        <v/>
      </c>
      <c r="Q5" s="160">
        <f>N5-M5</f>
        <v>0</v>
      </c>
      <c r="R5" s="161">
        <f>HOUR(Q5)*3600+MINUTE(Q5)*60+SECOND(Q5)</f>
        <v>0</v>
      </c>
      <c r="S5" s="161">
        <f t="shared" si="4"/>
        <v>0</v>
      </c>
      <c r="T5" s="331" t="s">
        <v>140</v>
      </c>
      <c r="U5" s="335" t="str">
        <f t="shared" ref="U5:U14" si="19">IF(O5=1,IF(T5="No",I5,G5),"")</f>
        <v/>
      </c>
      <c r="V5" s="336">
        <f t="shared" si="5"/>
        <v>0</v>
      </c>
      <c r="W5" s="336">
        <f t="shared" si="6"/>
        <v>0</v>
      </c>
      <c r="X5" s="161">
        <f t="shared" ref="X5:X14" si="20">R5-S5+V5</f>
        <v>0</v>
      </c>
      <c r="Y5" s="34" t="e">
        <f t="shared" ref="Y5:Y14" si="21">IF(T5="Yes",R5*H5,R5*J5)</f>
        <v>#DIV/0!</v>
      </c>
      <c r="Z5" s="62" t="str">
        <f t="shared" si="7"/>
        <v/>
      </c>
      <c r="AA5" s="62" t="e">
        <f t="shared" si="8"/>
        <v>#DIV/0!</v>
      </c>
      <c r="AB5" s="169" t="str">
        <f t="shared" si="9"/>
        <v/>
      </c>
      <c r="AC5" s="173">
        <f t="shared" si="10"/>
        <v>0</v>
      </c>
      <c r="AD5" s="34" t="e">
        <f t="shared" si="11"/>
        <v>#DIV/0!</v>
      </c>
      <c r="AE5" s="34" t="e">
        <f t="shared" si="12"/>
        <v>#DIV/0!</v>
      </c>
      <c r="AF5" s="34" t="e">
        <f>IF(AE5&gt;30,30,IF(AE5&lt;-30,-30,(AE5)))</f>
        <v>#DIV/0!</v>
      </c>
      <c r="AG5" s="78" t="e">
        <f t="shared" si="13"/>
        <v>#DIV/0!</v>
      </c>
      <c r="AH5" s="166">
        <f>MIN(MAX(IF(T5="Yes",G5+AG5,G5),'Handicaps-Roster'!L7),'Handicaps-Roster'!M7)</f>
        <v>78</v>
      </c>
      <c r="AI5" s="166" t="e">
        <f>MIN(MAX(IF(T5="No",I5+AG5,I5),'Handicaps-Roster'!N7),'Handicaps-Roster'!O7)</f>
        <v>#DIV/0!</v>
      </c>
      <c r="AJ5" s="174" t="e">
        <f>AC5+'Race #10'!AJ5</f>
        <v>#DIV/0!</v>
      </c>
      <c r="AK5" s="175" t="str">
        <f t="shared" ref="AK5:AK14" si="22">IF(O5=1,IF(T5="Yes",E5,F5),"")</f>
        <v/>
      </c>
      <c r="AL5" s="155" t="str">
        <f t="shared" si="14"/>
        <v/>
      </c>
      <c r="AM5" s="156" t="e">
        <f t="shared" si="15"/>
        <v>#DIV/0!</v>
      </c>
      <c r="AN5" s="156" t="e">
        <f t="shared" ref="AN5:AN14" si="23">IF(AM5=1,5,IF(AM5=2,4,IF(AM5=3,3,IF(AM5=4,2,IF(AM5=5,1,0)))))+O5</f>
        <v>#DIV/0!</v>
      </c>
      <c r="AO5" s="156" t="e">
        <f>AN5+'Race #10'!AO5</f>
        <v>#DIV/0!</v>
      </c>
      <c r="AP5" s="120" t="str">
        <f t="shared" si="16"/>
        <v>Exit Strategy</v>
      </c>
      <c r="AQ5" s="81"/>
      <c r="AT5" s="1" t="s">
        <v>140</v>
      </c>
    </row>
    <row r="6" spans="2:46" ht="30" customHeight="1" x14ac:dyDescent="0.2">
      <c r="B6" s="65" t="str">
        <f>'2026 Applebee Finish Summary'!I7</f>
        <v>Magoo</v>
      </c>
      <c r="C6" s="423" t="str">
        <f>'2026 Applebee Finish Summary'!J7</f>
        <v>Catalina 28 MK II</v>
      </c>
      <c r="D6" s="423" t="str">
        <f>'2026 Applebee Finish Summary'!K7</f>
        <v>Steve Luebkeman</v>
      </c>
      <c r="E6" s="46">
        <f>'Handicaps-Roster'!G8</f>
        <v>205</v>
      </c>
      <c r="F6" s="46">
        <f>'Handicaps-Roster'!H8</f>
        <v>208</v>
      </c>
      <c r="G6" s="46">
        <f>'Race #10'!AH6</f>
        <v>195</v>
      </c>
      <c r="H6" s="58" t="e">
        <f t="shared" si="0"/>
        <v>#DIV/0!</v>
      </c>
      <c r="I6" s="46" t="e">
        <f>'Race #10'!AI6</f>
        <v>#DIV/0!</v>
      </c>
      <c r="J6" s="58" t="e">
        <f t="shared" si="1"/>
        <v>#DIV/0!</v>
      </c>
      <c r="K6" s="58" t="str">
        <f t="shared" si="17"/>
        <v>No</v>
      </c>
      <c r="L6" s="334">
        <f t="shared" si="2"/>
        <v>0</v>
      </c>
      <c r="M6" s="329"/>
      <c r="N6" s="329"/>
      <c r="O6" s="34">
        <f t="shared" si="18"/>
        <v>0</v>
      </c>
      <c r="P6" s="337" t="str">
        <f t="shared" si="3"/>
        <v/>
      </c>
      <c r="Q6" s="160">
        <f t="shared" ref="Q6:Q14" si="24">N6-M6</f>
        <v>0</v>
      </c>
      <c r="R6" s="161">
        <f t="shared" ref="R6:R14" si="25">HOUR(Q6)*3600+MINUTE(Q6)*60+SECOND(Q6)</f>
        <v>0</v>
      </c>
      <c r="S6" s="161">
        <f t="shared" si="4"/>
        <v>0</v>
      </c>
      <c r="T6" s="331" t="s">
        <v>140</v>
      </c>
      <c r="U6" s="335" t="str">
        <f t="shared" si="19"/>
        <v/>
      </c>
      <c r="V6" s="336">
        <f t="shared" si="5"/>
        <v>0</v>
      </c>
      <c r="W6" s="336">
        <f t="shared" si="6"/>
        <v>0</v>
      </c>
      <c r="X6" s="161">
        <f t="shared" si="20"/>
        <v>0</v>
      </c>
      <c r="Y6" s="34" t="e">
        <f t="shared" si="21"/>
        <v>#DIV/0!</v>
      </c>
      <c r="Z6" s="62" t="str">
        <f t="shared" si="7"/>
        <v/>
      </c>
      <c r="AA6" s="62" t="e">
        <f t="shared" si="8"/>
        <v>#DIV/0!</v>
      </c>
      <c r="AB6" s="169" t="str">
        <f t="shared" si="9"/>
        <v/>
      </c>
      <c r="AC6" s="173">
        <f t="shared" si="10"/>
        <v>0</v>
      </c>
      <c r="AD6" s="34" t="e">
        <f t="shared" si="11"/>
        <v>#DIV/0!</v>
      </c>
      <c r="AE6" s="34" t="e">
        <f t="shared" si="12"/>
        <v>#DIV/0!</v>
      </c>
      <c r="AF6" s="34" t="e">
        <f t="shared" ref="AF6:AF14" si="26">IF(AE6&gt;30,30,IF(AE6&lt;-30,-30,(AE6)))</f>
        <v>#DIV/0!</v>
      </c>
      <c r="AG6" s="78" t="e">
        <f t="shared" si="13"/>
        <v>#DIV/0!</v>
      </c>
      <c r="AH6" s="166">
        <f>MIN(MAX(IF(T6="Yes",G6+AG6,G6),'Handicaps-Roster'!L8),'Handicaps-Roster'!M8)</f>
        <v>195</v>
      </c>
      <c r="AI6" s="166" t="e">
        <f>MIN(MAX(IF(T6="No",I6+AG6,I6),'Handicaps-Roster'!N8),'Handicaps-Roster'!O8)</f>
        <v>#DIV/0!</v>
      </c>
      <c r="AJ6" s="174" t="e">
        <f>AC6+'Race #10'!AJ6</f>
        <v>#DIV/0!</v>
      </c>
      <c r="AK6" s="175" t="str">
        <f t="shared" si="22"/>
        <v/>
      </c>
      <c r="AL6" s="194" t="str">
        <f t="shared" si="14"/>
        <v/>
      </c>
      <c r="AM6" s="156" t="e">
        <f t="shared" si="15"/>
        <v>#DIV/0!</v>
      </c>
      <c r="AN6" s="156" t="e">
        <f t="shared" si="23"/>
        <v>#DIV/0!</v>
      </c>
      <c r="AO6" s="156" t="e">
        <f>AN6+'Race #10'!AO6</f>
        <v>#DIV/0!</v>
      </c>
      <c r="AP6" s="120" t="str">
        <f t="shared" si="16"/>
        <v>Magoo</v>
      </c>
      <c r="AQ6" s="81"/>
    </row>
    <row r="7" spans="2:46" ht="30" customHeight="1" x14ac:dyDescent="0.2">
      <c r="B7" s="347" t="str">
        <f>'2026 Applebee Finish Summary'!I8</f>
        <v>Feng Shui</v>
      </c>
      <c r="C7" s="422" t="str">
        <f>'2026 Applebee Finish Summary'!J8</f>
        <v>C&amp;C 34</v>
      </c>
      <c r="D7" s="422" t="str">
        <f>'2026 Applebee Finish Summary'!K8</f>
        <v>Mike Finazzo</v>
      </c>
      <c r="E7" s="162">
        <f>'Handicaps-Roster'!G9</f>
        <v>157</v>
      </c>
      <c r="F7" s="162">
        <f>'Handicaps-Roster'!H9</f>
        <v>169</v>
      </c>
      <c r="G7" s="162">
        <f>'Race #10'!AH7</f>
        <v>175.1</v>
      </c>
      <c r="H7" s="61" t="e">
        <f t="shared" si="0"/>
        <v>#DIV/0!</v>
      </c>
      <c r="I7" s="162" t="e">
        <f>'Race #10'!AI7</f>
        <v>#DIV/0!</v>
      </c>
      <c r="J7" s="61" t="e">
        <f t="shared" si="1"/>
        <v>#DIV/0!</v>
      </c>
      <c r="K7" s="61" t="str">
        <f t="shared" si="17"/>
        <v>No</v>
      </c>
      <c r="L7" s="328">
        <f t="shared" si="2"/>
        <v>0</v>
      </c>
      <c r="M7" s="329"/>
      <c r="N7" s="329"/>
      <c r="O7" s="59">
        <f t="shared" si="18"/>
        <v>0</v>
      </c>
      <c r="P7" s="337" t="str">
        <f t="shared" si="3"/>
        <v/>
      </c>
      <c r="Q7" s="163">
        <f>N7-M7</f>
        <v>0</v>
      </c>
      <c r="R7" s="164">
        <f>HOUR(Q7)*3600+MINUTE(Q7)*60+SECOND(Q7)</f>
        <v>0</v>
      </c>
      <c r="S7" s="164">
        <f t="shared" si="4"/>
        <v>0</v>
      </c>
      <c r="T7" s="331" t="s">
        <v>140</v>
      </c>
      <c r="U7" s="332" t="str">
        <f t="shared" si="19"/>
        <v/>
      </c>
      <c r="V7" s="333">
        <f t="shared" si="5"/>
        <v>0</v>
      </c>
      <c r="W7" s="333">
        <f t="shared" si="6"/>
        <v>0</v>
      </c>
      <c r="X7" s="164">
        <f t="shared" si="20"/>
        <v>0</v>
      </c>
      <c r="Y7" s="59" t="e">
        <f t="shared" si="21"/>
        <v>#DIV/0!</v>
      </c>
      <c r="Z7" s="77" t="str">
        <f t="shared" si="7"/>
        <v/>
      </c>
      <c r="AA7" s="77" t="e">
        <f t="shared" si="8"/>
        <v>#DIV/0!</v>
      </c>
      <c r="AB7" s="169" t="str">
        <f t="shared" si="9"/>
        <v/>
      </c>
      <c r="AC7" s="173">
        <f t="shared" si="10"/>
        <v>0</v>
      </c>
      <c r="AD7" s="59" t="e">
        <f t="shared" si="11"/>
        <v>#DIV/0!</v>
      </c>
      <c r="AE7" s="59" t="e">
        <f t="shared" si="12"/>
        <v>#DIV/0!</v>
      </c>
      <c r="AF7" s="59" t="e">
        <f>IF(AE7&gt;30,30,IF(AE7&lt;-30,-30,(AE7)))</f>
        <v>#DIV/0!</v>
      </c>
      <c r="AG7" s="60" t="e">
        <f t="shared" si="13"/>
        <v>#DIV/0!</v>
      </c>
      <c r="AH7" s="165">
        <f>MIN(MAX(IF(T7="Yes",G7+AG7,G7),'Handicaps-Roster'!L9),'Handicaps-Roster'!M9)</f>
        <v>175.1</v>
      </c>
      <c r="AI7" s="165" t="e">
        <f>MIN(MAX(IF(T7="No",I7+AG7,I7),'Handicaps-Roster'!N9),'Handicaps-Roster'!O9)</f>
        <v>#DIV/0!</v>
      </c>
      <c r="AJ7" s="174" t="e">
        <f>AC7+'Race #10'!AJ7</f>
        <v>#DIV/0!</v>
      </c>
      <c r="AK7" s="176" t="str">
        <f t="shared" si="22"/>
        <v/>
      </c>
      <c r="AL7" s="195" t="str">
        <f t="shared" si="14"/>
        <v/>
      </c>
      <c r="AM7" s="156" t="e">
        <f t="shared" si="15"/>
        <v>#DIV/0!</v>
      </c>
      <c r="AN7" s="156" t="e">
        <f t="shared" si="23"/>
        <v>#DIV/0!</v>
      </c>
      <c r="AO7" s="156" t="e">
        <f>AN7+'Race #10'!AO7</f>
        <v>#DIV/0!</v>
      </c>
      <c r="AP7" s="158" t="str">
        <f t="shared" si="16"/>
        <v>Feng Shui</v>
      </c>
      <c r="AQ7" s="81"/>
    </row>
    <row r="8" spans="2:46" ht="30" customHeight="1" x14ac:dyDescent="0.2">
      <c r="B8" s="65" t="str">
        <f>'2026 Applebee Finish Summary'!I9</f>
        <v>Grin</v>
      </c>
      <c r="C8" s="423" t="str">
        <f>'2026 Applebee Finish Summary'!J9</f>
        <v>Ericson 32-200</v>
      </c>
      <c r="D8" s="423" t="str">
        <f>'2026 Applebee Finish Summary'!K9</f>
        <v>John Woomer</v>
      </c>
      <c r="E8" s="46">
        <f>'Handicaps-Roster'!G10</f>
        <v>165</v>
      </c>
      <c r="F8" s="46">
        <f>'Handicaps-Roster'!H10</f>
        <v>177</v>
      </c>
      <c r="G8" s="46">
        <f>'Race #10'!AH8</f>
        <v>198</v>
      </c>
      <c r="H8" s="58" t="e">
        <f t="shared" si="0"/>
        <v>#DIV/0!</v>
      </c>
      <c r="I8" s="46" t="e">
        <f>'Race #10'!AI8</f>
        <v>#DIV/0!</v>
      </c>
      <c r="J8" s="58" t="e">
        <f t="shared" si="1"/>
        <v>#DIV/0!</v>
      </c>
      <c r="K8" s="58" t="str">
        <f t="shared" si="17"/>
        <v>No</v>
      </c>
      <c r="L8" s="334">
        <f t="shared" si="2"/>
        <v>0</v>
      </c>
      <c r="M8" s="329"/>
      <c r="N8" s="329"/>
      <c r="O8" s="34">
        <f t="shared" si="18"/>
        <v>0</v>
      </c>
      <c r="P8" s="337" t="str">
        <f t="shared" si="3"/>
        <v/>
      </c>
      <c r="Q8" s="160">
        <f t="shared" si="24"/>
        <v>0</v>
      </c>
      <c r="R8" s="161">
        <f t="shared" si="25"/>
        <v>0</v>
      </c>
      <c r="S8" s="161">
        <f t="shared" si="4"/>
        <v>0</v>
      </c>
      <c r="T8" s="331" t="s">
        <v>140</v>
      </c>
      <c r="U8" s="335" t="str">
        <f t="shared" si="19"/>
        <v/>
      </c>
      <c r="V8" s="333">
        <f t="shared" si="5"/>
        <v>0</v>
      </c>
      <c r="W8" s="336">
        <f>IF(T8="Yes",(-(J8-H8)*R8),0)</f>
        <v>0</v>
      </c>
      <c r="X8" s="161">
        <f>R8-S8+V8</f>
        <v>0</v>
      </c>
      <c r="Y8" s="34" t="e">
        <f>IF(T8="Yes",R8*H8,R8*J8)</f>
        <v>#DIV/0!</v>
      </c>
      <c r="Z8" s="62" t="str">
        <f t="shared" si="7"/>
        <v/>
      </c>
      <c r="AA8" s="62" t="e">
        <f t="shared" si="8"/>
        <v>#DIV/0!</v>
      </c>
      <c r="AB8" s="169" t="str">
        <f t="shared" si="9"/>
        <v/>
      </c>
      <c r="AC8" s="173">
        <f t="shared" si="10"/>
        <v>0</v>
      </c>
      <c r="AD8" s="34" t="e">
        <f t="shared" si="11"/>
        <v>#DIV/0!</v>
      </c>
      <c r="AE8" s="34" t="e">
        <f t="shared" si="12"/>
        <v>#DIV/0!</v>
      </c>
      <c r="AF8" s="34" t="e">
        <f t="shared" si="26"/>
        <v>#DIV/0!</v>
      </c>
      <c r="AG8" s="78" t="e">
        <f t="shared" si="13"/>
        <v>#DIV/0!</v>
      </c>
      <c r="AH8" s="166">
        <f>MIN(MAX(IF(T8="Yes",G8+AG8,G8),'Handicaps-Roster'!L10),'Handicaps-Roster'!M10)</f>
        <v>198</v>
      </c>
      <c r="AI8" s="166" t="e">
        <f>MIN(MAX(IF(T8="No",I8+AG8,I8),'Handicaps-Roster'!N10),'Handicaps-Roster'!O10)</f>
        <v>#DIV/0!</v>
      </c>
      <c r="AJ8" s="174" t="e">
        <f>AC8+'Race #10'!AJ8</f>
        <v>#DIV/0!</v>
      </c>
      <c r="AK8" s="175" t="str">
        <f t="shared" si="22"/>
        <v/>
      </c>
      <c r="AL8" s="194" t="str">
        <f t="shared" si="14"/>
        <v/>
      </c>
      <c r="AM8" s="156" t="e">
        <f t="shared" si="15"/>
        <v>#DIV/0!</v>
      </c>
      <c r="AN8" s="156" t="e">
        <f t="shared" si="23"/>
        <v>#DIV/0!</v>
      </c>
      <c r="AO8" s="156" t="e">
        <f>AN8+'Race #10'!AO8</f>
        <v>#DIV/0!</v>
      </c>
      <c r="AP8" s="120" t="str">
        <f t="shared" si="16"/>
        <v>Grin</v>
      </c>
      <c r="AQ8" s="81"/>
    </row>
    <row r="9" spans="2:46" ht="30" customHeight="1" x14ac:dyDescent="0.2">
      <c r="B9" s="347" t="str">
        <f>'2026 Applebee Finish Summary'!I10</f>
        <v>Kristin B II</v>
      </c>
      <c r="C9" s="422" t="str">
        <f>'2026 Applebee Finish Summary'!J10</f>
        <v>Catalina 36 TM</v>
      </c>
      <c r="D9" s="422" t="str">
        <f>'2026 Applebee Finish Summary'!K10</f>
        <v>Mike Cann</v>
      </c>
      <c r="E9" s="162">
        <f>'Handicaps-Roster'!G11</f>
        <v>154</v>
      </c>
      <c r="F9" s="162">
        <f>'Handicaps-Roster'!H11</f>
        <v>163</v>
      </c>
      <c r="G9" s="162">
        <f>'Race #10'!AH9</f>
        <v>179.3</v>
      </c>
      <c r="H9" s="61" t="e">
        <f t="shared" si="0"/>
        <v>#DIV/0!</v>
      </c>
      <c r="I9" s="162" t="e">
        <f>'Race #10'!AI9</f>
        <v>#DIV/0!</v>
      </c>
      <c r="J9" s="61" t="e">
        <f t="shared" si="1"/>
        <v>#DIV/0!</v>
      </c>
      <c r="K9" s="61" t="str">
        <f t="shared" si="17"/>
        <v>No</v>
      </c>
      <c r="L9" s="328">
        <f t="shared" si="2"/>
        <v>0</v>
      </c>
      <c r="M9" s="329"/>
      <c r="N9" s="329"/>
      <c r="O9" s="59">
        <f t="shared" si="18"/>
        <v>0</v>
      </c>
      <c r="P9" s="337" t="str">
        <f t="shared" si="3"/>
        <v/>
      </c>
      <c r="Q9" s="163">
        <f t="shared" si="24"/>
        <v>0</v>
      </c>
      <c r="R9" s="164">
        <f t="shared" si="25"/>
        <v>0</v>
      </c>
      <c r="S9" s="164">
        <f t="shared" si="4"/>
        <v>0</v>
      </c>
      <c r="T9" s="331" t="s">
        <v>140</v>
      </c>
      <c r="U9" s="332" t="str">
        <f t="shared" si="19"/>
        <v/>
      </c>
      <c r="V9" s="333">
        <f t="shared" si="5"/>
        <v>0</v>
      </c>
      <c r="W9" s="333">
        <f t="shared" ref="W9:W17" si="27">IF(T9="Yes",(-(J9-H9)*R9),0)</f>
        <v>0</v>
      </c>
      <c r="X9" s="164">
        <f>R9-S9+V9</f>
        <v>0</v>
      </c>
      <c r="Y9" s="59" t="e">
        <f t="shared" si="21"/>
        <v>#DIV/0!</v>
      </c>
      <c r="Z9" s="77" t="str">
        <f t="shared" si="7"/>
        <v/>
      </c>
      <c r="AA9" s="77" t="e">
        <f t="shared" si="8"/>
        <v>#DIV/0!</v>
      </c>
      <c r="AB9" s="169" t="str">
        <f t="shared" si="9"/>
        <v/>
      </c>
      <c r="AC9" s="173">
        <f t="shared" si="10"/>
        <v>0</v>
      </c>
      <c r="AD9" s="59" t="e">
        <f t="shared" si="11"/>
        <v>#DIV/0!</v>
      </c>
      <c r="AE9" s="59" t="e">
        <f t="shared" si="12"/>
        <v>#DIV/0!</v>
      </c>
      <c r="AF9" s="59" t="e">
        <f t="shared" si="26"/>
        <v>#DIV/0!</v>
      </c>
      <c r="AG9" s="60" t="e">
        <f t="shared" si="13"/>
        <v>#DIV/0!</v>
      </c>
      <c r="AH9" s="165">
        <f>MIN(MAX(IF(T9="Yes",G9+AG9,G9),'Handicaps-Roster'!L11),'Handicaps-Roster'!M11)</f>
        <v>179.3</v>
      </c>
      <c r="AI9" s="165" t="e">
        <f>MIN(MAX(IF(T9="No",I9+AG9,I9),'Handicaps-Roster'!N11),'Handicaps-Roster'!O11)</f>
        <v>#DIV/0!</v>
      </c>
      <c r="AJ9" s="174" t="e">
        <f>AC9+'Race #10'!AJ9</f>
        <v>#DIV/0!</v>
      </c>
      <c r="AK9" s="176" t="str">
        <f t="shared" si="22"/>
        <v/>
      </c>
      <c r="AL9" s="195" t="str">
        <f t="shared" si="14"/>
        <v/>
      </c>
      <c r="AM9" s="156" t="e">
        <f t="shared" si="15"/>
        <v>#DIV/0!</v>
      </c>
      <c r="AN9" s="156" t="e">
        <f t="shared" si="23"/>
        <v>#DIV/0!</v>
      </c>
      <c r="AO9" s="156" t="e">
        <f>AN9+'Race #10'!AO9</f>
        <v>#DIV/0!</v>
      </c>
      <c r="AP9" s="158" t="str">
        <f t="shared" si="16"/>
        <v>Kristin B II</v>
      </c>
      <c r="AQ9" s="81"/>
    </row>
    <row r="10" spans="2:46" ht="30" customHeight="1" x14ac:dyDescent="0.2">
      <c r="B10" s="65" t="str">
        <f>'2026 Applebee Finish Summary'!I11</f>
        <v>MacGuffin</v>
      </c>
      <c r="C10" s="423" t="str">
        <f>'2026 Applebee Finish Summary'!J11</f>
        <v>Shock Harbor 25</v>
      </c>
      <c r="D10" s="423" t="str">
        <f>'2026 Applebee Finish Summary'!K11</f>
        <v>Darryl Rosenbaum</v>
      </c>
      <c r="E10" s="46">
        <f>'Handicaps-Roster'!G12</f>
        <v>204</v>
      </c>
      <c r="F10" s="46">
        <f>'Handicaps-Roster'!H12</f>
        <v>204</v>
      </c>
      <c r="G10" s="46">
        <f>'Race #10'!AH10</f>
        <v>204</v>
      </c>
      <c r="H10" s="58" t="e">
        <f t="shared" si="0"/>
        <v>#DIV/0!</v>
      </c>
      <c r="I10" s="46" t="e">
        <f>'Race #10'!AI10</f>
        <v>#DIV/0!</v>
      </c>
      <c r="J10" s="58" t="e">
        <f t="shared" si="1"/>
        <v>#DIV/0!</v>
      </c>
      <c r="K10" s="58" t="str">
        <f t="shared" si="17"/>
        <v>No</v>
      </c>
      <c r="L10" s="334">
        <f t="shared" si="2"/>
        <v>0</v>
      </c>
      <c r="M10" s="329"/>
      <c r="N10" s="329"/>
      <c r="O10" s="34">
        <f t="shared" si="18"/>
        <v>0</v>
      </c>
      <c r="P10" s="337" t="str">
        <f t="shared" si="3"/>
        <v/>
      </c>
      <c r="Q10" s="160">
        <f t="shared" si="24"/>
        <v>0</v>
      </c>
      <c r="R10" s="161">
        <f t="shared" si="25"/>
        <v>0</v>
      </c>
      <c r="S10" s="161">
        <f t="shared" si="4"/>
        <v>0</v>
      </c>
      <c r="T10" s="331" t="s">
        <v>140</v>
      </c>
      <c r="U10" s="335" t="str">
        <f t="shared" si="19"/>
        <v/>
      </c>
      <c r="V10" s="336">
        <f t="shared" si="5"/>
        <v>0</v>
      </c>
      <c r="W10" s="336">
        <f t="shared" si="27"/>
        <v>0</v>
      </c>
      <c r="X10" s="161">
        <f t="shared" si="20"/>
        <v>0</v>
      </c>
      <c r="Y10" s="34" t="e">
        <f t="shared" si="21"/>
        <v>#DIV/0!</v>
      </c>
      <c r="Z10" s="62" t="str">
        <f t="shared" si="7"/>
        <v/>
      </c>
      <c r="AA10" s="62" t="e">
        <f t="shared" si="8"/>
        <v>#DIV/0!</v>
      </c>
      <c r="AB10" s="169" t="str">
        <f t="shared" si="9"/>
        <v/>
      </c>
      <c r="AC10" s="173">
        <f t="shared" si="10"/>
        <v>0</v>
      </c>
      <c r="AD10" s="34" t="e">
        <f t="shared" si="11"/>
        <v>#DIV/0!</v>
      </c>
      <c r="AE10" s="34" t="e">
        <f t="shared" si="12"/>
        <v>#DIV/0!</v>
      </c>
      <c r="AF10" s="34" t="e">
        <f t="shared" si="26"/>
        <v>#DIV/0!</v>
      </c>
      <c r="AG10" s="78" t="e">
        <f t="shared" si="13"/>
        <v>#DIV/0!</v>
      </c>
      <c r="AH10" s="166">
        <f>MIN(MAX(IF(T10="Yes",G10+AG10,G10),'Handicaps-Roster'!L12),'Handicaps-Roster'!M12)</f>
        <v>204</v>
      </c>
      <c r="AI10" s="166" t="e">
        <f>MIN(MAX(IF(T10="No",I10+AG10,I10),'Handicaps-Roster'!N12),'Handicaps-Roster'!O12)</f>
        <v>#DIV/0!</v>
      </c>
      <c r="AJ10" s="174" t="e">
        <f>AC10+'Race #10'!AJ10</f>
        <v>#DIV/0!</v>
      </c>
      <c r="AK10" s="175" t="str">
        <f t="shared" si="22"/>
        <v/>
      </c>
      <c r="AL10" s="194" t="str">
        <f t="shared" si="14"/>
        <v/>
      </c>
      <c r="AM10" s="156" t="e">
        <f t="shared" si="15"/>
        <v>#DIV/0!</v>
      </c>
      <c r="AN10" s="156" t="e">
        <f t="shared" si="23"/>
        <v>#DIV/0!</v>
      </c>
      <c r="AO10" s="156" t="e">
        <f>AN10+'Race #10'!AO10</f>
        <v>#DIV/0!</v>
      </c>
      <c r="AP10" s="120" t="str">
        <f t="shared" si="16"/>
        <v>MacGuffin</v>
      </c>
      <c r="AQ10" s="81"/>
    </row>
    <row r="11" spans="2:46" ht="30" customHeight="1" x14ac:dyDescent="0.2">
      <c r="B11" s="347" t="str">
        <f>'2026 Applebee Finish Summary'!I12</f>
        <v>Mirabelle</v>
      </c>
      <c r="C11" s="422" t="str">
        <f>'2026 Applebee Finish Summary'!J12</f>
        <v>Cape Dory 32</v>
      </c>
      <c r="D11" s="422" t="str">
        <f>'2026 Applebee Finish Summary'!K12</f>
        <v>Campbell McLeod</v>
      </c>
      <c r="E11" s="162">
        <f>'Handicaps-Roster'!G13</f>
        <v>204</v>
      </c>
      <c r="F11" s="162">
        <f>'Handicaps-Roster'!H13</f>
        <v>216</v>
      </c>
      <c r="G11" s="162">
        <f>'Race #10'!AH11</f>
        <v>233.5</v>
      </c>
      <c r="H11" s="61" t="e">
        <f t="shared" si="0"/>
        <v>#DIV/0!</v>
      </c>
      <c r="I11" s="162" t="e">
        <f>'Race #10'!AI11</f>
        <v>#DIV/0!</v>
      </c>
      <c r="J11" s="61" t="e">
        <f t="shared" si="1"/>
        <v>#DIV/0!</v>
      </c>
      <c r="K11" s="61" t="str">
        <f t="shared" si="17"/>
        <v>No</v>
      </c>
      <c r="L11" s="328">
        <f t="shared" si="2"/>
        <v>0</v>
      </c>
      <c r="M11" s="329"/>
      <c r="N11" s="329"/>
      <c r="O11" s="59">
        <f t="shared" si="18"/>
        <v>0</v>
      </c>
      <c r="P11" s="337" t="str">
        <f t="shared" si="3"/>
        <v/>
      </c>
      <c r="Q11" s="163">
        <f t="shared" si="24"/>
        <v>0</v>
      </c>
      <c r="R11" s="164">
        <f t="shared" si="25"/>
        <v>0</v>
      </c>
      <c r="S11" s="164">
        <f t="shared" si="4"/>
        <v>0</v>
      </c>
      <c r="T11" s="331" t="s">
        <v>140</v>
      </c>
      <c r="U11" s="332" t="str">
        <f t="shared" si="19"/>
        <v/>
      </c>
      <c r="V11" s="333">
        <f t="shared" si="5"/>
        <v>0</v>
      </c>
      <c r="W11" s="333">
        <f t="shared" si="27"/>
        <v>0</v>
      </c>
      <c r="X11" s="164">
        <f t="shared" si="20"/>
        <v>0</v>
      </c>
      <c r="Y11" s="59" t="e">
        <f t="shared" si="21"/>
        <v>#DIV/0!</v>
      </c>
      <c r="Z11" s="77" t="str">
        <f t="shared" si="7"/>
        <v/>
      </c>
      <c r="AA11" s="77" t="e">
        <f t="shared" si="8"/>
        <v>#DIV/0!</v>
      </c>
      <c r="AB11" s="169" t="str">
        <f t="shared" si="9"/>
        <v/>
      </c>
      <c r="AC11" s="173">
        <f t="shared" si="10"/>
        <v>0</v>
      </c>
      <c r="AD11" s="59" t="e">
        <f t="shared" si="11"/>
        <v>#DIV/0!</v>
      </c>
      <c r="AE11" s="59" t="e">
        <f t="shared" si="12"/>
        <v>#DIV/0!</v>
      </c>
      <c r="AF11" s="59" t="e">
        <f t="shared" si="26"/>
        <v>#DIV/0!</v>
      </c>
      <c r="AG11" s="60" t="e">
        <f t="shared" si="13"/>
        <v>#DIV/0!</v>
      </c>
      <c r="AH11" s="165">
        <f>MIN(MAX(IF(T11="Yes",G11+AG11,G11),'Handicaps-Roster'!L13),'Handicaps-Roster'!M13)</f>
        <v>233.5</v>
      </c>
      <c r="AI11" s="165" t="e">
        <f>MIN(MAX(IF(T11="No",I11+AG11,I11),'Handicaps-Roster'!N13),'Handicaps-Roster'!O13)</f>
        <v>#DIV/0!</v>
      </c>
      <c r="AJ11" s="174" t="e">
        <f>AC11+'Race #10'!AJ11</f>
        <v>#DIV/0!</v>
      </c>
      <c r="AK11" s="176" t="str">
        <f t="shared" si="22"/>
        <v/>
      </c>
      <c r="AL11" s="195" t="str">
        <f t="shared" si="14"/>
        <v/>
      </c>
      <c r="AM11" s="156" t="e">
        <f t="shared" si="15"/>
        <v>#DIV/0!</v>
      </c>
      <c r="AN11" s="156" t="e">
        <f t="shared" si="23"/>
        <v>#DIV/0!</v>
      </c>
      <c r="AO11" s="156" t="e">
        <f>AN11+'Race #10'!AO11</f>
        <v>#DIV/0!</v>
      </c>
      <c r="AP11" s="158" t="str">
        <f t="shared" si="16"/>
        <v>Mirabelle</v>
      </c>
      <c r="AQ11" s="81"/>
    </row>
    <row r="12" spans="2:46" ht="30" customHeight="1" x14ac:dyDescent="0.2">
      <c r="B12" s="65" t="str">
        <f>'2026 Applebee Finish Summary'!I13</f>
        <v>Outrageous</v>
      </c>
      <c r="C12" s="423" t="str">
        <f>'2026 Applebee Finish Summary'!J13</f>
        <v>Tanzer 22</v>
      </c>
      <c r="D12" s="423" t="str">
        <f>'2026 Applebee Finish Summary'!K13</f>
        <v>Don Webb</v>
      </c>
      <c r="E12" s="46">
        <f>'Handicaps-Roster'!G14</f>
        <v>254</v>
      </c>
      <c r="F12" s="46">
        <f>'Handicaps-Roster'!H14</f>
        <v>261</v>
      </c>
      <c r="G12" s="46">
        <f>'Race #10'!AH12</f>
        <v>252.6</v>
      </c>
      <c r="H12" s="58" t="e">
        <f t="shared" si="0"/>
        <v>#DIV/0!</v>
      </c>
      <c r="I12" s="46" t="e">
        <f>'Race #10'!AI12</f>
        <v>#DIV/0!</v>
      </c>
      <c r="J12" s="58" t="e">
        <f t="shared" si="1"/>
        <v>#DIV/0!</v>
      </c>
      <c r="K12" s="58" t="str">
        <f t="shared" si="17"/>
        <v>No</v>
      </c>
      <c r="L12" s="334">
        <f t="shared" si="2"/>
        <v>0</v>
      </c>
      <c r="M12" s="329"/>
      <c r="N12" s="329"/>
      <c r="O12" s="34">
        <f t="shared" si="18"/>
        <v>0</v>
      </c>
      <c r="P12" s="337" t="str">
        <f t="shared" si="3"/>
        <v/>
      </c>
      <c r="Q12" s="160">
        <f t="shared" si="24"/>
        <v>0</v>
      </c>
      <c r="R12" s="161">
        <f t="shared" si="25"/>
        <v>0</v>
      </c>
      <c r="S12" s="161">
        <f t="shared" si="4"/>
        <v>0</v>
      </c>
      <c r="T12" s="331" t="s">
        <v>140</v>
      </c>
      <c r="U12" s="335" t="str">
        <f t="shared" si="19"/>
        <v/>
      </c>
      <c r="V12" s="336">
        <f t="shared" si="5"/>
        <v>0</v>
      </c>
      <c r="W12" s="336">
        <f t="shared" si="27"/>
        <v>0</v>
      </c>
      <c r="X12" s="161">
        <f t="shared" si="20"/>
        <v>0</v>
      </c>
      <c r="Y12" s="34" t="e">
        <f t="shared" si="21"/>
        <v>#DIV/0!</v>
      </c>
      <c r="Z12" s="62" t="str">
        <f t="shared" si="7"/>
        <v/>
      </c>
      <c r="AA12" s="62" t="e">
        <f t="shared" si="8"/>
        <v>#DIV/0!</v>
      </c>
      <c r="AB12" s="169" t="str">
        <f t="shared" si="9"/>
        <v/>
      </c>
      <c r="AC12" s="173">
        <f t="shared" si="10"/>
        <v>0</v>
      </c>
      <c r="AD12" s="34" t="e">
        <f t="shared" si="11"/>
        <v>#DIV/0!</v>
      </c>
      <c r="AE12" s="34" t="e">
        <f t="shared" si="12"/>
        <v>#DIV/0!</v>
      </c>
      <c r="AF12" s="34" t="e">
        <f t="shared" si="26"/>
        <v>#DIV/0!</v>
      </c>
      <c r="AG12" s="78" t="e">
        <f t="shared" si="13"/>
        <v>#DIV/0!</v>
      </c>
      <c r="AH12" s="166">
        <f>MIN(MAX(IF(T12="Yes",G12+AG12,G12),'Handicaps-Roster'!L14),'Handicaps-Roster'!M14)</f>
        <v>252.6</v>
      </c>
      <c r="AI12" s="166" t="e">
        <f>MIN(MAX(IF(T12="No",I12+AG12,I12),'Handicaps-Roster'!N14),'Handicaps-Roster'!O14)</f>
        <v>#DIV/0!</v>
      </c>
      <c r="AJ12" s="174" t="e">
        <f>AC12+'Race #10'!AJ12</f>
        <v>#DIV/0!</v>
      </c>
      <c r="AK12" s="175" t="str">
        <f t="shared" si="22"/>
        <v/>
      </c>
      <c r="AL12" s="194" t="str">
        <f t="shared" si="14"/>
        <v/>
      </c>
      <c r="AM12" s="156" t="e">
        <f t="shared" si="15"/>
        <v>#DIV/0!</v>
      </c>
      <c r="AN12" s="156" t="e">
        <f t="shared" si="23"/>
        <v>#DIV/0!</v>
      </c>
      <c r="AO12" s="156" t="e">
        <f>AN12+'Race #10'!AO12</f>
        <v>#DIV/0!</v>
      </c>
      <c r="AP12" s="120" t="str">
        <f t="shared" si="16"/>
        <v>Outrageous</v>
      </c>
      <c r="AQ12" s="81"/>
    </row>
    <row r="13" spans="2:46" ht="30" customHeight="1" x14ac:dyDescent="0.2">
      <c r="B13" s="347" t="str">
        <f>'2026 Applebee Finish Summary'!I14</f>
        <v>Paradox</v>
      </c>
      <c r="C13" s="422" t="str">
        <f>'2026 Applebee Finish Summary'!J14</f>
        <v>J 92</v>
      </c>
      <c r="D13" s="422" t="str">
        <f>'2026 Applebee Finish Summary'!K14</f>
        <v>Glenn VanOtteren/Ted Standiford</v>
      </c>
      <c r="E13" s="162">
        <f>'Handicaps-Roster'!G15</f>
        <v>111</v>
      </c>
      <c r="F13" s="162">
        <f>'Handicaps-Roster'!H15</f>
        <v>132</v>
      </c>
      <c r="G13" s="162">
        <f>'Race #10'!AH13</f>
        <v>94.35</v>
      </c>
      <c r="H13" s="61" t="e">
        <f t="shared" si="0"/>
        <v>#DIV/0!</v>
      </c>
      <c r="I13" s="162" t="e">
        <f>'Race #10'!AI13</f>
        <v>#DIV/0!</v>
      </c>
      <c r="J13" s="61" t="e">
        <f t="shared" si="1"/>
        <v>#DIV/0!</v>
      </c>
      <c r="K13" s="61" t="str">
        <f t="shared" si="17"/>
        <v>No</v>
      </c>
      <c r="L13" s="328">
        <f t="shared" si="2"/>
        <v>0</v>
      </c>
      <c r="M13" s="329"/>
      <c r="N13" s="329"/>
      <c r="O13" s="59">
        <f t="shared" si="18"/>
        <v>0</v>
      </c>
      <c r="P13" s="337" t="str">
        <f t="shared" si="3"/>
        <v/>
      </c>
      <c r="Q13" s="163">
        <f t="shared" si="24"/>
        <v>0</v>
      </c>
      <c r="R13" s="164">
        <f t="shared" si="25"/>
        <v>0</v>
      </c>
      <c r="S13" s="164">
        <f t="shared" si="4"/>
        <v>0</v>
      </c>
      <c r="T13" s="331" t="s">
        <v>140</v>
      </c>
      <c r="U13" s="165" t="str">
        <f t="shared" si="19"/>
        <v/>
      </c>
      <c r="V13" s="333">
        <f t="shared" si="5"/>
        <v>0</v>
      </c>
      <c r="W13" s="333">
        <f t="shared" si="27"/>
        <v>0</v>
      </c>
      <c r="X13" s="164">
        <f t="shared" si="20"/>
        <v>0</v>
      </c>
      <c r="Y13" s="59" t="e">
        <f t="shared" si="21"/>
        <v>#DIV/0!</v>
      </c>
      <c r="Z13" s="77" t="str">
        <f t="shared" si="7"/>
        <v/>
      </c>
      <c r="AA13" s="77" t="e">
        <f t="shared" si="8"/>
        <v>#DIV/0!</v>
      </c>
      <c r="AB13" s="169" t="str">
        <f t="shared" si="9"/>
        <v/>
      </c>
      <c r="AC13" s="173">
        <f t="shared" si="10"/>
        <v>0</v>
      </c>
      <c r="AD13" s="59" t="e">
        <f t="shared" si="11"/>
        <v>#DIV/0!</v>
      </c>
      <c r="AE13" s="59" t="e">
        <f t="shared" si="12"/>
        <v>#DIV/0!</v>
      </c>
      <c r="AF13" s="59" t="e">
        <f t="shared" si="26"/>
        <v>#DIV/0!</v>
      </c>
      <c r="AG13" s="60" t="e">
        <f t="shared" si="13"/>
        <v>#DIV/0!</v>
      </c>
      <c r="AH13" s="165">
        <f>MIN(MAX(IF(T13="Yes",G13+AG13,G13),'Handicaps-Roster'!L15),'Handicaps-Roster'!M15)</f>
        <v>94.35</v>
      </c>
      <c r="AI13" s="165" t="e">
        <f>MIN(MAX(IF(T13="No",I13+AG13,I13),'Handicaps-Roster'!N15),'Handicaps-Roster'!O15)</f>
        <v>#DIV/0!</v>
      </c>
      <c r="AJ13" s="174" t="e">
        <f>AC13+'Race #10'!AJ13</f>
        <v>#DIV/0!</v>
      </c>
      <c r="AK13" s="176" t="str">
        <f t="shared" si="22"/>
        <v/>
      </c>
      <c r="AL13" s="195" t="str">
        <f t="shared" si="14"/>
        <v/>
      </c>
      <c r="AM13" s="156" t="e">
        <f t="shared" si="15"/>
        <v>#DIV/0!</v>
      </c>
      <c r="AN13" s="156" t="e">
        <f t="shared" si="23"/>
        <v>#DIV/0!</v>
      </c>
      <c r="AO13" s="156" t="e">
        <f>AN13+'Race #10'!AO13</f>
        <v>#DIV/0!</v>
      </c>
      <c r="AP13" s="158" t="str">
        <f t="shared" si="16"/>
        <v>Paradox</v>
      </c>
      <c r="AQ13" s="81"/>
    </row>
    <row r="14" spans="2:46" ht="30" customHeight="1" x14ac:dyDescent="0.2">
      <c r="B14" s="65" t="str">
        <f>'2026 Applebee Finish Summary'!I15</f>
        <v>Pegasus</v>
      </c>
      <c r="C14" s="423" t="str">
        <f>'2026 Applebee Finish Summary'!J15</f>
        <v>Catalina 320</v>
      </c>
      <c r="D14" s="423" t="str">
        <f>'2026 Applebee Finish Summary'!K15</f>
        <v>Bill Allen</v>
      </c>
      <c r="E14" s="46">
        <f>'Handicaps-Roster'!G16</f>
        <v>162</v>
      </c>
      <c r="F14" s="46">
        <f>'Handicaps-Roster'!H16</f>
        <v>171</v>
      </c>
      <c r="G14" s="46">
        <f>'Race #10'!AH14</f>
        <v>137.69999999999999</v>
      </c>
      <c r="H14" s="58" t="e">
        <f t="shared" si="0"/>
        <v>#DIV/0!</v>
      </c>
      <c r="I14" s="46" t="e">
        <f>'Race #10'!AI14</f>
        <v>#DIV/0!</v>
      </c>
      <c r="J14" s="58" t="e">
        <f t="shared" si="1"/>
        <v>#DIV/0!</v>
      </c>
      <c r="K14" s="58" t="str">
        <f t="shared" si="17"/>
        <v>No</v>
      </c>
      <c r="L14" s="334">
        <f t="shared" si="2"/>
        <v>0</v>
      </c>
      <c r="M14" s="329"/>
      <c r="N14" s="329"/>
      <c r="O14" s="34">
        <f t="shared" si="18"/>
        <v>0</v>
      </c>
      <c r="P14" s="337" t="str">
        <f t="shared" si="3"/>
        <v/>
      </c>
      <c r="Q14" s="160">
        <f t="shared" si="24"/>
        <v>0</v>
      </c>
      <c r="R14" s="161">
        <f t="shared" si="25"/>
        <v>0</v>
      </c>
      <c r="S14" s="161">
        <f t="shared" si="4"/>
        <v>0</v>
      </c>
      <c r="T14" s="331" t="s">
        <v>140</v>
      </c>
      <c r="U14" s="335" t="str">
        <f t="shared" si="19"/>
        <v/>
      </c>
      <c r="V14" s="336">
        <f t="shared" si="5"/>
        <v>0</v>
      </c>
      <c r="W14" s="336">
        <f t="shared" si="27"/>
        <v>0</v>
      </c>
      <c r="X14" s="161">
        <f t="shared" si="20"/>
        <v>0</v>
      </c>
      <c r="Y14" s="34" t="e">
        <f t="shared" si="21"/>
        <v>#DIV/0!</v>
      </c>
      <c r="Z14" s="62" t="str">
        <f t="shared" si="7"/>
        <v/>
      </c>
      <c r="AA14" s="62" t="e">
        <f t="shared" si="8"/>
        <v>#DIV/0!</v>
      </c>
      <c r="AB14" s="169" t="str">
        <f t="shared" si="9"/>
        <v/>
      </c>
      <c r="AC14" s="173">
        <f t="shared" si="10"/>
        <v>0</v>
      </c>
      <c r="AD14" s="34" t="e">
        <f t="shared" si="11"/>
        <v>#DIV/0!</v>
      </c>
      <c r="AE14" s="34" t="e">
        <f t="shared" si="12"/>
        <v>#DIV/0!</v>
      </c>
      <c r="AF14" s="34" t="e">
        <f t="shared" si="26"/>
        <v>#DIV/0!</v>
      </c>
      <c r="AG14" s="78" t="e">
        <f t="shared" si="13"/>
        <v>#DIV/0!</v>
      </c>
      <c r="AH14" s="166">
        <f>MIN(MAX(IF(T14="Yes",G14+AG14,G14),'Handicaps-Roster'!L16),'Handicaps-Roster'!M16)</f>
        <v>137.69999999999999</v>
      </c>
      <c r="AI14" s="166" t="e">
        <f>MIN(MAX(IF(T14="No",I14+AG14,I14),'Handicaps-Roster'!N16),'Handicaps-Roster'!O16)</f>
        <v>#DIV/0!</v>
      </c>
      <c r="AJ14" s="174" t="e">
        <f>AC14+'Race #10'!AJ14</f>
        <v>#DIV/0!</v>
      </c>
      <c r="AK14" s="175" t="str">
        <f t="shared" si="22"/>
        <v/>
      </c>
      <c r="AL14" s="194" t="str">
        <f t="shared" si="14"/>
        <v/>
      </c>
      <c r="AM14" s="156" t="e">
        <f t="shared" si="15"/>
        <v>#DIV/0!</v>
      </c>
      <c r="AN14" s="156" t="e">
        <f t="shared" si="23"/>
        <v>#DIV/0!</v>
      </c>
      <c r="AO14" s="156" t="e">
        <f>AN14+'Race #10'!AO14</f>
        <v>#DIV/0!</v>
      </c>
      <c r="AP14" s="120" t="str">
        <f>B14</f>
        <v>Pegasus</v>
      </c>
      <c r="AQ14" s="81"/>
    </row>
    <row r="15" spans="2:46" ht="30" customHeight="1" x14ac:dyDescent="0.2">
      <c r="B15" s="348" t="str">
        <f>'2026 Applebee Finish Summary'!I16</f>
        <v>Triton</v>
      </c>
      <c r="C15" s="424" t="str">
        <f>'2026 Applebee Finish Summary'!J16</f>
        <v>Hans Christian 43</v>
      </c>
      <c r="D15" s="424" t="str">
        <f>'2026 Applebee Finish Summary'!K16</f>
        <v>Alex Parks</v>
      </c>
      <c r="E15" s="46">
        <f>'Handicaps-Roster'!G17</f>
        <v>162</v>
      </c>
      <c r="F15" s="46">
        <f>'Handicaps-Roster'!H17</f>
        <v>177</v>
      </c>
      <c r="G15" s="46">
        <f>'Race #10'!AH15</f>
        <v>194.4</v>
      </c>
      <c r="H15" s="58" t="e">
        <f t="shared" si="0"/>
        <v>#DIV/0!</v>
      </c>
      <c r="I15" s="46" t="e">
        <f>'Race #10'!AI15</f>
        <v>#DIV/0!</v>
      </c>
      <c r="J15" s="58" t="e">
        <f t="shared" si="1"/>
        <v>#DIV/0!</v>
      </c>
      <c r="K15" s="412" t="str">
        <f t="shared" si="17"/>
        <v>No</v>
      </c>
      <c r="L15" s="334">
        <f>IF(K15="Yes",1,0)</f>
        <v>0</v>
      </c>
      <c r="M15" s="329"/>
      <c r="N15" s="329"/>
      <c r="O15" s="34">
        <f t="shared" si="18"/>
        <v>0</v>
      </c>
      <c r="P15" s="337" t="str">
        <f t="shared" si="3"/>
        <v/>
      </c>
      <c r="Q15" s="160">
        <f>N15-M15</f>
        <v>0</v>
      </c>
      <c r="R15" s="161">
        <f>HOUR(Q15)*3600+MINUTE(Q15)*60+SECOND(Q15)</f>
        <v>0</v>
      </c>
      <c r="S15" s="161">
        <f t="shared" si="4"/>
        <v>0</v>
      </c>
      <c r="T15" s="331" t="s">
        <v>140</v>
      </c>
      <c r="U15" s="335" t="str">
        <f>IF(O15=1,IF(T15="No",I15,G15),"")</f>
        <v/>
      </c>
      <c r="V15" s="336">
        <f t="shared" si="5"/>
        <v>0</v>
      </c>
      <c r="W15" s="336">
        <f t="shared" si="27"/>
        <v>0</v>
      </c>
      <c r="X15" s="161">
        <f>R15-S15+V15</f>
        <v>0</v>
      </c>
      <c r="Y15" s="34" t="e">
        <f>IF(T15="Yes",R15*H15,R15*J15)</f>
        <v>#DIV/0!</v>
      </c>
      <c r="Z15" s="62" t="str">
        <f t="shared" si="7"/>
        <v/>
      </c>
      <c r="AA15" s="62" t="e">
        <f t="shared" si="8"/>
        <v>#DIV/0!</v>
      </c>
      <c r="AB15" s="169" t="str">
        <f t="shared" si="9"/>
        <v/>
      </c>
      <c r="AC15" s="173">
        <f t="shared" si="10"/>
        <v>0</v>
      </c>
      <c r="AD15" s="34" t="e">
        <f t="shared" si="11"/>
        <v>#DIV/0!</v>
      </c>
      <c r="AE15" s="34" t="e">
        <f t="shared" si="12"/>
        <v>#DIV/0!</v>
      </c>
      <c r="AF15" s="34" t="e">
        <f>IF(AE15&gt;30,30,IF(AE15&lt;-30,-30,(AE15)))</f>
        <v>#DIV/0!</v>
      </c>
      <c r="AG15" s="78" t="e">
        <f t="shared" si="13"/>
        <v>#DIV/0!</v>
      </c>
      <c r="AH15" s="166">
        <f>MIN(MAX(IF(T15="Yes",G15+AG15,G15),'Handicaps-Roster'!L17),'Handicaps-Roster'!M17)</f>
        <v>194.4</v>
      </c>
      <c r="AI15" s="166" t="e">
        <f>MIN(MAX(IF(T15="No",I15+AG15,I15),'Handicaps-Roster'!N17),'Handicaps-Roster'!O17)</f>
        <v>#DIV/0!</v>
      </c>
      <c r="AJ15" s="174" t="e">
        <f>AC15+'Race #10'!AJ15</f>
        <v>#DIV/0!</v>
      </c>
      <c r="AK15" s="175" t="str">
        <f>IF(O15=1,IF(T15="Yes",E15,F15),"")</f>
        <v/>
      </c>
      <c r="AL15" s="194" t="str">
        <f t="shared" si="14"/>
        <v/>
      </c>
      <c r="AM15" s="156" t="e">
        <f t="shared" si="15"/>
        <v>#DIV/0!</v>
      </c>
      <c r="AN15" s="156" t="e">
        <f>IF(AM15=1,5,IF(AM15=2,4,IF(AM15=3,3,IF(AM15=4,2,IF(AM15=5,1,0)))))+O15</f>
        <v>#DIV/0!</v>
      </c>
      <c r="AO15" s="156" t="e">
        <f>AN15+'Race #10'!AO15</f>
        <v>#DIV/0!</v>
      </c>
      <c r="AP15" s="120" t="str">
        <f>B15</f>
        <v>Triton</v>
      </c>
      <c r="AQ15" s="81"/>
    </row>
    <row r="16" spans="2:46" ht="30" customHeight="1" x14ac:dyDescent="0.2">
      <c r="B16" s="349" t="str">
        <f>'2026 Applebee Finish Summary'!I17</f>
        <v>Lone Gull</v>
      </c>
      <c r="C16" s="425" t="str">
        <f>'2026 Applebee Finish Summary'!J17</f>
        <v>Cal 20</v>
      </c>
      <c r="D16" s="425" t="str">
        <f>'2026 Applebee Finish Summary'!K17</f>
        <v>Kevin Savage</v>
      </c>
      <c r="E16" s="162">
        <f>'Handicaps-Roster'!G18</f>
        <v>280</v>
      </c>
      <c r="F16" s="162">
        <f>'Handicaps-Roster'!H18</f>
        <v>288</v>
      </c>
      <c r="G16" s="162">
        <f>'Race #10'!AH16</f>
        <v>280</v>
      </c>
      <c r="H16" s="61" t="e">
        <f t="shared" ref="H16:H17" si="28">$E$31/($E$24+G16)</f>
        <v>#DIV/0!</v>
      </c>
      <c r="I16" s="162" t="e">
        <f>'Race #10'!AI16</f>
        <v>#DIV/0!</v>
      </c>
      <c r="J16" s="61" t="e">
        <f t="shared" ref="J16:J17" si="29">$E$31/($E$24+I16)</f>
        <v>#DIV/0!</v>
      </c>
      <c r="K16" s="414" t="str">
        <f t="shared" si="17"/>
        <v>No</v>
      </c>
      <c r="L16" s="328">
        <f t="shared" ref="L16:L17" si="30">IF(K16="Yes",1,0)</f>
        <v>0</v>
      </c>
      <c r="M16" s="329"/>
      <c r="N16" s="329"/>
      <c r="O16" s="59">
        <f t="shared" si="18"/>
        <v>0</v>
      </c>
      <c r="P16" s="337" t="str">
        <f t="shared" si="3"/>
        <v/>
      </c>
      <c r="Q16" s="163">
        <f t="shared" ref="Q16:Q17" si="31">N16-M16</f>
        <v>0</v>
      </c>
      <c r="R16" s="164">
        <f t="shared" ref="R16:R17" si="32">HOUR(Q16)*3600+MINUTE(Q16)*60+SECOND(Q16)</f>
        <v>0</v>
      </c>
      <c r="S16" s="164">
        <f t="shared" ref="S16:S17" si="33">IF(N16&gt;0,($I16*$E$20),0)</f>
        <v>0</v>
      </c>
      <c r="T16" s="331" t="s">
        <v>140</v>
      </c>
      <c r="U16" s="332" t="str">
        <f t="shared" ref="U16:U17" si="34">IF(O16=1,IF(T16="No",I16,G16),"")</f>
        <v/>
      </c>
      <c r="V16" s="333">
        <f t="shared" si="5"/>
        <v>0</v>
      </c>
      <c r="W16" s="333">
        <f t="shared" si="27"/>
        <v>0</v>
      </c>
      <c r="X16" s="164">
        <f t="shared" ref="X16:X17" si="35">R16-S16+V16</f>
        <v>0</v>
      </c>
      <c r="Y16" s="59" t="e">
        <f t="shared" ref="Y16:Y17" si="36">IF(T16="Yes",R16*H16,R16*J16)</f>
        <v>#DIV/0!</v>
      </c>
      <c r="Z16" s="77" t="str">
        <f t="shared" si="7"/>
        <v/>
      </c>
      <c r="AA16" s="77" t="e">
        <f t="shared" si="8"/>
        <v>#DIV/0!</v>
      </c>
      <c r="AB16" s="169" t="str">
        <f t="shared" ref="AB16:AB17" si="37">IF($E$21="Yes",Z16,AA16)</f>
        <v/>
      </c>
      <c r="AC16" s="173">
        <f t="shared" ref="AC16:AC17" si="38">IF($E$21="Yes",IF(Z16=1,5,IF(Z16=2,4,IF(Z16=3,3,IF(Z16=4,2,IF(Z16=5,1,0))))),IF(AA16=1,5,IF(AA16=2,4,IF(AA16=3,3,IF(AA16=4,2,IF(AA16=5,1,0))))))+L16</f>
        <v>0</v>
      </c>
      <c r="AD16" s="59" t="e">
        <f t="shared" ref="AD16:AD17" si="39">Y16/$E$20</f>
        <v>#DIV/0!</v>
      </c>
      <c r="AE16" s="59" t="e">
        <f t="shared" ref="AE16:AE17" si="40">IF(AD16&gt;0,((Y16/$E$20)-$E$29),0)</f>
        <v>#DIV/0!</v>
      </c>
      <c r="AF16" s="59" t="e">
        <f t="shared" ref="AF16:AF17" si="41">IF(AE16&gt;30,30,IF(AE16&lt;-30,-30,(AE16)))</f>
        <v>#DIV/0!</v>
      </c>
      <c r="AG16" s="60" t="e">
        <f t="shared" ref="AG16:AG17" si="42">AF16*$E$22</f>
        <v>#DIV/0!</v>
      </c>
      <c r="AH16" s="165">
        <f>MIN(MAX(IF(T16="Yes",G16+AG16,G16),'Handicaps-Roster'!L18),'Handicaps-Roster'!M18)</f>
        <v>280</v>
      </c>
      <c r="AI16" s="165" t="e">
        <f>MIN(MAX(IF(T16="No",I16+AG16,I16),'Handicaps-Roster'!N18),'Handicaps-Roster'!O18)</f>
        <v>#DIV/0!</v>
      </c>
      <c r="AJ16" s="174" t="e">
        <f>AC16+'Race #10'!AJ16</f>
        <v>#DIV/0!</v>
      </c>
      <c r="AK16" s="176" t="str">
        <f t="shared" ref="AK16:AK17" si="43">IF(O16=1,IF(T16="Yes",E16,F16),"")</f>
        <v/>
      </c>
      <c r="AL16" s="195" t="str">
        <f t="shared" ref="AL16:AL17" si="44">IFERROR((($AN$22/($E$24+AK16))*R16),"")</f>
        <v/>
      </c>
      <c r="AM16" s="156" t="e">
        <f t="shared" si="15"/>
        <v>#DIV/0!</v>
      </c>
      <c r="AN16" s="156" t="e">
        <f t="shared" ref="AN16:AN17" si="45">IF(AM16=1,5,IF(AM16=2,4,IF(AM16=3,3,IF(AM16=4,2,IF(AM16=5,1,0)))))+O16</f>
        <v>#DIV/0!</v>
      </c>
      <c r="AO16" s="156" t="e">
        <f>AN16+'Race #10'!AO16</f>
        <v>#DIV/0!</v>
      </c>
      <c r="AP16" s="158" t="str">
        <f t="shared" ref="AP16:AP17" si="46">B16</f>
        <v>Lone Gull</v>
      </c>
      <c r="AQ16" s="81"/>
    </row>
    <row r="17" spans="2:43" ht="30" customHeight="1" thickBot="1" x14ac:dyDescent="0.25">
      <c r="B17" s="396">
        <f>'2026 Applebee Finish Summary'!I18</f>
        <v>0</v>
      </c>
      <c r="C17" s="426">
        <f>'2026 Applebee Finish Summary'!J18</f>
        <v>0</v>
      </c>
      <c r="D17" s="426">
        <f>'2026 Applebee Finish Summary'!K18</f>
        <v>0</v>
      </c>
      <c r="E17" s="275">
        <f>'Handicaps-Roster'!G19</f>
        <v>0</v>
      </c>
      <c r="F17" s="275">
        <f>'Handicaps-Roster'!H19</f>
        <v>0</v>
      </c>
      <c r="G17" s="275">
        <f>'Race #10'!AH17</f>
        <v>0</v>
      </c>
      <c r="H17" s="276" t="e">
        <f t="shared" si="28"/>
        <v>#DIV/0!</v>
      </c>
      <c r="I17" s="275" t="e">
        <f>'Race #10'!AI17</f>
        <v>#DIV/0!</v>
      </c>
      <c r="J17" s="276" t="e">
        <f t="shared" si="29"/>
        <v>#DIV/0!</v>
      </c>
      <c r="K17" s="413" t="str">
        <f t="shared" si="17"/>
        <v>No</v>
      </c>
      <c r="L17" s="342">
        <f t="shared" si="30"/>
        <v>0</v>
      </c>
      <c r="M17" s="338"/>
      <c r="N17" s="338"/>
      <c r="O17" s="277">
        <f t="shared" si="18"/>
        <v>0</v>
      </c>
      <c r="P17" s="339" t="str">
        <f t="shared" si="3"/>
        <v/>
      </c>
      <c r="Q17" s="278">
        <f t="shared" si="31"/>
        <v>0</v>
      </c>
      <c r="R17" s="279">
        <f t="shared" si="32"/>
        <v>0</v>
      </c>
      <c r="S17" s="279">
        <f t="shared" si="33"/>
        <v>0</v>
      </c>
      <c r="T17" s="340" t="s">
        <v>140</v>
      </c>
      <c r="U17" s="395" t="str">
        <f t="shared" si="34"/>
        <v/>
      </c>
      <c r="V17" s="343">
        <f t="shared" si="5"/>
        <v>0</v>
      </c>
      <c r="W17" s="343">
        <f t="shared" si="27"/>
        <v>0</v>
      </c>
      <c r="X17" s="279">
        <f t="shared" si="35"/>
        <v>0</v>
      </c>
      <c r="Y17" s="277" t="e">
        <f t="shared" si="36"/>
        <v>#DIV/0!</v>
      </c>
      <c r="Z17" s="280" t="str">
        <f t="shared" si="7"/>
        <v/>
      </c>
      <c r="AA17" s="280" t="e">
        <f t="shared" si="8"/>
        <v>#DIV/0!</v>
      </c>
      <c r="AB17" s="171" t="str">
        <f t="shared" si="37"/>
        <v/>
      </c>
      <c r="AC17" s="177">
        <f t="shared" si="38"/>
        <v>0</v>
      </c>
      <c r="AD17" s="277" t="e">
        <f t="shared" si="39"/>
        <v>#DIV/0!</v>
      </c>
      <c r="AE17" s="277" t="e">
        <f t="shared" si="40"/>
        <v>#DIV/0!</v>
      </c>
      <c r="AF17" s="277" t="e">
        <f t="shared" si="41"/>
        <v>#DIV/0!</v>
      </c>
      <c r="AG17" s="281" t="e">
        <f t="shared" si="42"/>
        <v>#DIV/0!</v>
      </c>
      <c r="AH17" s="282">
        <f>MIN(MAX(IF(T17="Yes",G17+AG17,G17),'Handicaps-Roster'!L19),'Handicaps-Roster'!M19)</f>
        <v>0</v>
      </c>
      <c r="AI17" s="282" t="e">
        <f>MIN(MAX(IF(T17="No",I17+AG17,I17),'Handicaps-Roster'!N19),'Handicaps-Roster'!O19)</f>
        <v>#DIV/0!</v>
      </c>
      <c r="AJ17" s="178" t="e">
        <f>AC17+'Race #10'!AJ17</f>
        <v>#DIV/0!</v>
      </c>
      <c r="AK17" s="287" t="str">
        <f t="shared" si="43"/>
        <v/>
      </c>
      <c r="AL17" s="286" t="str">
        <f t="shared" si="44"/>
        <v/>
      </c>
      <c r="AM17" s="157" t="e">
        <f t="shared" si="15"/>
        <v>#DIV/0!</v>
      </c>
      <c r="AN17" s="157" t="e">
        <f t="shared" si="45"/>
        <v>#DIV/0!</v>
      </c>
      <c r="AO17" s="157" t="e">
        <f>AN17+'Race #10'!AO17</f>
        <v>#DIV/0!</v>
      </c>
      <c r="AP17" s="284">
        <f t="shared" si="46"/>
        <v>0</v>
      </c>
      <c r="AQ17" s="81"/>
    </row>
    <row r="18" spans="2:43" ht="30" customHeight="1" x14ac:dyDescent="0.2">
      <c r="AO18" s="81"/>
    </row>
    <row r="19" spans="2:43" ht="16" thickBot="1" x14ac:dyDescent="0.25">
      <c r="B19" s="4"/>
      <c r="E19" s="5"/>
      <c r="F19" s="11"/>
      <c r="G19" s="5"/>
      <c r="H19" s="11"/>
      <c r="I19" s="11"/>
      <c r="J19" s="11"/>
      <c r="K19" s="11"/>
      <c r="L19" s="11"/>
      <c r="M19" s="11"/>
      <c r="N19" s="13"/>
      <c r="O19" s="13"/>
      <c r="P19" s="11"/>
      <c r="Q19" s="11"/>
      <c r="R19" s="11"/>
      <c r="S19" s="8"/>
      <c r="T19" s="89" t="s">
        <v>146</v>
      </c>
      <c r="U19" s="11"/>
      <c r="V19" s="11"/>
      <c r="W19" s="13"/>
      <c r="X19" s="13"/>
      <c r="Y19" s="18"/>
      <c r="Z19" s="18"/>
      <c r="AA19" s="13"/>
      <c r="AB19" s="13"/>
      <c r="AC19" s="89" t="s">
        <v>186</v>
      </c>
      <c r="AD19" s="13"/>
      <c r="AE19" s="15"/>
      <c r="AF19" s="16"/>
      <c r="AG19" s="11"/>
      <c r="AH19" s="11"/>
      <c r="AI19" s="5"/>
    </row>
    <row r="20" spans="2:43" ht="18" customHeight="1" x14ac:dyDescent="0.35">
      <c r="D20" s="87" t="s">
        <v>141</v>
      </c>
      <c r="E20" s="86">
        <f>Z30</f>
        <v>0</v>
      </c>
      <c r="G20" s="481" t="s">
        <v>142</v>
      </c>
      <c r="H20" s="482"/>
      <c r="I20" s="511" t="s">
        <v>102</v>
      </c>
      <c r="J20" s="482"/>
      <c r="K20" s="516" t="s">
        <v>143</v>
      </c>
      <c r="L20" s="493"/>
      <c r="M20" s="516" t="s">
        <v>144</v>
      </c>
      <c r="N20" s="491"/>
      <c r="P20" s="512" t="s">
        <v>145</v>
      </c>
      <c r="Q20" s="513"/>
      <c r="U20" s="89" t="s">
        <v>147</v>
      </c>
      <c r="W20" s="89" t="s">
        <v>148</v>
      </c>
      <c r="Z20" s="233" t="s">
        <v>149</v>
      </c>
      <c r="AK20" s="521" t="s">
        <v>150</v>
      </c>
      <c r="AL20" s="500"/>
      <c r="AM20" s="500"/>
      <c r="AN20" s="501"/>
    </row>
    <row r="21" spans="2:43" ht="18" customHeight="1" x14ac:dyDescent="0.2">
      <c r="D21" s="87" t="s">
        <v>151</v>
      </c>
      <c r="E21" s="24" t="s">
        <v>139</v>
      </c>
      <c r="G21" s="477" t="str">
        <f>IF($E$27&gt;0,"First Place","")</f>
        <v/>
      </c>
      <c r="H21" s="478"/>
      <c r="I21" s="483" t="str">
        <f>IF($E$27&gt;0,VLOOKUP(1,$AB$4:$AP$17,15,FALSE),"")</f>
        <v/>
      </c>
      <c r="J21" s="484"/>
      <c r="K21" s="514" t="str">
        <f t="shared" ref="K21:K32" si="47">IFERROR(VLOOKUP(I21,$B$4:$Y$17,24,0)-_xlfn.MINIFS($Y$4:$Y$17,$Y$4:$Y$17,"&gt;0"),"")</f>
        <v/>
      </c>
      <c r="L21" s="515"/>
      <c r="M21" s="514" t="str">
        <f t="shared" ref="M21:M32" si="48">IFERROR(VLOOKUP(I21,$B$4:$X$17,23,0)-_xlfn.MINIFS($X$4:$X$17,$X$4:$X$17,"&gt;0"),"")</f>
        <v/>
      </c>
      <c r="N21" s="517"/>
      <c r="P21" s="115" t="s">
        <v>93</v>
      </c>
      <c r="Q21" s="115" t="s">
        <v>152</v>
      </c>
      <c r="U21" s="30"/>
      <c r="V21" s="30"/>
      <c r="AK21" s="147" t="s">
        <v>153</v>
      </c>
      <c r="AL21" s="148"/>
      <c r="AM21" s="148"/>
      <c r="AN21" s="154" t="e">
        <f>SUM(AK4:AK17)/E27</f>
        <v>#DIV/0!</v>
      </c>
    </row>
    <row r="22" spans="2:43" ht="18" customHeight="1" x14ac:dyDescent="0.2">
      <c r="D22" s="87" t="s">
        <v>154</v>
      </c>
      <c r="E22" s="250">
        <v>0.1</v>
      </c>
      <c r="G22" s="477" t="str">
        <f>IF(E27&gt;1,"Second Place","")</f>
        <v/>
      </c>
      <c r="H22" s="478"/>
      <c r="I22" s="483" t="str">
        <f>IF($E$27&gt;1,VLOOKUP(2,$AB$4:$AP$17,15,FALSE),"")</f>
        <v/>
      </c>
      <c r="J22" s="484"/>
      <c r="K22" s="514" t="str">
        <f t="shared" si="47"/>
        <v/>
      </c>
      <c r="L22" s="515"/>
      <c r="M22" s="514" t="str">
        <f t="shared" si="48"/>
        <v/>
      </c>
      <c r="N22" s="517"/>
      <c r="P22" s="116">
        <v>2</v>
      </c>
      <c r="Q22" s="117">
        <v>1</v>
      </c>
      <c r="U22" s="148" t="s">
        <v>193</v>
      </c>
      <c r="V22" s="148"/>
      <c r="W22" s="428"/>
      <c r="X22" s="107"/>
      <c r="Y22" s="107"/>
      <c r="Z22" s="429"/>
      <c r="AA22" s="148"/>
      <c r="AB22" s="148"/>
      <c r="AK22" s="147" t="s">
        <v>155</v>
      </c>
      <c r="AL22" s="148"/>
      <c r="AM22" s="148"/>
      <c r="AN22" s="154" t="e">
        <f>AN21+E24</f>
        <v>#DIV/0!</v>
      </c>
    </row>
    <row r="23" spans="2:43" ht="18" customHeight="1" thickBot="1" x14ac:dyDescent="0.25">
      <c r="D23" s="87" t="s">
        <v>156</v>
      </c>
      <c r="E23" s="94" t="s">
        <v>157</v>
      </c>
      <c r="G23" s="477" t="str">
        <f>IF(E27&gt;2,"Third Place","")</f>
        <v/>
      </c>
      <c r="H23" s="478"/>
      <c r="I23" s="483" t="str">
        <f>IF($E$27&gt;2,VLOOKUP(3,$AB$4:$AP$17,15,FALSE),"")</f>
        <v/>
      </c>
      <c r="J23" s="484"/>
      <c r="K23" s="514" t="str">
        <f t="shared" si="47"/>
        <v/>
      </c>
      <c r="L23" s="515"/>
      <c r="M23" s="514" t="str">
        <f t="shared" si="48"/>
        <v/>
      </c>
      <c r="N23" s="517"/>
      <c r="P23" s="118">
        <v>3</v>
      </c>
      <c r="Q23" s="108">
        <v>2</v>
      </c>
      <c r="U23" s="148"/>
      <c r="V23" s="148"/>
      <c r="W23" s="428"/>
      <c r="X23" s="107"/>
      <c r="Y23" s="107"/>
      <c r="Z23" s="429"/>
      <c r="AA23" s="148"/>
      <c r="AB23" s="148"/>
      <c r="AK23" s="149" t="s">
        <v>158</v>
      </c>
      <c r="AL23" s="150"/>
      <c r="AM23" s="150"/>
      <c r="AN23" s="152" t="e">
        <f>AN22/(AN21+E24)</f>
        <v>#DIV/0!</v>
      </c>
    </row>
    <row r="24" spans="2:43" ht="18" customHeight="1" x14ac:dyDescent="0.2">
      <c r="D24" s="87" t="s">
        <v>159</v>
      </c>
      <c r="E24" s="249">
        <f>VLOOKUP(E23,I36:K38,3,0)</f>
        <v>550</v>
      </c>
      <c r="G24" s="477" t="str">
        <f>IF(E27&gt;3,"Fourth Place","")</f>
        <v/>
      </c>
      <c r="H24" s="478"/>
      <c r="I24" s="483" t="str">
        <f>IF($E$27&gt;3,VLOOKUP(4,$AB$4:$AP$17,15,FALSE),"")</f>
        <v/>
      </c>
      <c r="J24" s="484"/>
      <c r="K24" s="514" t="str">
        <f t="shared" si="47"/>
        <v/>
      </c>
      <c r="L24" s="515"/>
      <c r="M24" s="514" t="str">
        <f t="shared" si="48"/>
        <v/>
      </c>
      <c r="N24" s="517"/>
      <c r="P24" s="118">
        <v>4</v>
      </c>
      <c r="Q24" s="108">
        <v>2</v>
      </c>
      <c r="U24" s="148"/>
      <c r="V24" s="148"/>
      <c r="W24" s="428"/>
      <c r="X24" s="107"/>
      <c r="Y24" s="107"/>
      <c r="Z24" s="429"/>
      <c r="AA24" s="148"/>
      <c r="AB24" s="148"/>
    </row>
    <row r="25" spans="2:43" ht="18" customHeight="1" x14ac:dyDescent="0.2">
      <c r="D25" s="95"/>
      <c r="E25" s="96"/>
      <c r="G25" s="477" t="str">
        <f>IF(E27&gt;4,"Fifth Place","")</f>
        <v/>
      </c>
      <c r="H25" s="478"/>
      <c r="I25" s="483" t="str">
        <f>IF($E$27&gt;4,VLOOKUP(5,$AB$4:$AP$17,15,FALSE),"")</f>
        <v/>
      </c>
      <c r="J25" s="484"/>
      <c r="K25" s="514" t="str">
        <f t="shared" si="47"/>
        <v/>
      </c>
      <c r="L25" s="515"/>
      <c r="M25" s="514" t="str">
        <f t="shared" si="48"/>
        <v/>
      </c>
      <c r="N25" s="517"/>
      <c r="P25" s="118">
        <v>5</v>
      </c>
      <c r="Q25" s="108">
        <v>2</v>
      </c>
      <c r="U25" s="148"/>
      <c r="V25" s="148"/>
      <c r="W25" s="148"/>
      <c r="X25" s="107"/>
      <c r="Y25" s="107"/>
      <c r="Z25" s="429"/>
      <c r="AA25" s="148"/>
      <c r="AB25" s="148"/>
    </row>
    <row r="26" spans="2:43" ht="18" customHeight="1" x14ac:dyDescent="0.2">
      <c r="D26" s="87" t="s">
        <v>160</v>
      </c>
      <c r="E26" s="23">
        <f>SUM(L4:L17)</f>
        <v>0</v>
      </c>
      <c r="G26" s="477" t="str">
        <f>IF($E$27&gt;5,"Sixth Place","")</f>
        <v/>
      </c>
      <c r="H26" s="478"/>
      <c r="I26" s="483" t="str">
        <f>IF($E$27&gt;5,VLOOKUP(6,$AB$4:$AP$17,15,FALSE),"")</f>
        <v/>
      </c>
      <c r="J26" s="484"/>
      <c r="K26" s="514" t="str">
        <f t="shared" si="47"/>
        <v/>
      </c>
      <c r="L26" s="515"/>
      <c r="M26" s="514" t="str">
        <f t="shared" si="48"/>
        <v/>
      </c>
      <c r="N26" s="517"/>
      <c r="P26" s="118">
        <v>6</v>
      </c>
      <c r="Q26" s="108">
        <v>3</v>
      </c>
      <c r="U26" s="88"/>
      <c r="V26" s="148"/>
      <c r="W26" s="428"/>
      <c r="X26" s="107"/>
      <c r="Y26" s="107"/>
      <c r="Z26" s="429"/>
      <c r="AA26" s="148"/>
      <c r="AB26" s="148"/>
    </row>
    <row r="27" spans="2:43" ht="18" customHeight="1" x14ac:dyDescent="0.2">
      <c r="D27" s="87" t="s">
        <v>161</v>
      </c>
      <c r="E27" s="23">
        <f>SUM(O4:O17)</f>
        <v>0</v>
      </c>
      <c r="G27" s="477" t="str">
        <f>IF($E$27&gt;6,"Seventh Place","")</f>
        <v/>
      </c>
      <c r="H27" s="478"/>
      <c r="I27" s="483" t="str">
        <f>IF($E$27&gt;6,VLOOKUP(7,$AB$4:$AP$17,15,FALSE),"")</f>
        <v/>
      </c>
      <c r="J27" s="484"/>
      <c r="K27" s="514" t="str">
        <f t="shared" si="47"/>
        <v/>
      </c>
      <c r="L27" s="515"/>
      <c r="M27" s="514" t="str">
        <f t="shared" si="48"/>
        <v/>
      </c>
      <c r="N27" s="517"/>
      <c r="P27" s="118">
        <v>7</v>
      </c>
      <c r="Q27" s="108">
        <v>3</v>
      </c>
      <c r="U27" s="430"/>
      <c r="V27" s="430"/>
      <c r="W27" s="430"/>
      <c r="X27" s="107"/>
      <c r="Y27" s="107"/>
      <c r="Z27" s="429"/>
      <c r="AA27" s="148"/>
      <c r="AB27" s="148"/>
    </row>
    <row r="28" spans="2:43" ht="18" customHeight="1" x14ac:dyDescent="0.2">
      <c r="D28" s="87" t="s">
        <v>162</v>
      </c>
      <c r="E28" s="25" t="e">
        <f>VLOOKUP(E27,P22:Q32,2,FALSE)</f>
        <v>#N/A</v>
      </c>
      <c r="G28" s="477" t="str">
        <f>IF(E27&gt;7,"Eighth Place","")</f>
        <v/>
      </c>
      <c r="H28" s="478"/>
      <c r="I28" s="483" t="str">
        <f>IF($E$27&gt;7,VLOOKUP(8,$AB$4:$AP$17,15,FALSE),"")</f>
        <v/>
      </c>
      <c r="J28" s="484"/>
      <c r="K28" s="514" t="str">
        <f t="shared" si="47"/>
        <v/>
      </c>
      <c r="L28" s="515"/>
      <c r="M28" s="514" t="str">
        <f t="shared" si="48"/>
        <v/>
      </c>
      <c r="N28" s="517"/>
      <c r="P28" s="118">
        <v>8</v>
      </c>
      <c r="Q28" s="108">
        <v>3</v>
      </c>
      <c r="U28" s="430"/>
      <c r="V28" s="430"/>
      <c r="W28" s="430"/>
      <c r="X28" s="107"/>
      <c r="Y28" s="107"/>
      <c r="Z28" s="429"/>
      <c r="AA28" s="148"/>
      <c r="AB28" s="148"/>
    </row>
    <row r="29" spans="2:43" ht="18" customHeight="1" x14ac:dyDescent="0.2">
      <c r="D29" s="87" t="s">
        <v>163</v>
      </c>
      <c r="E29" s="26" t="e">
        <f>VLOOKUP(E28,AA4:AD17,4,FALSE)</f>
        <v>#N/A</v>
      </c>
      <c r="G29" s="477" t="str">
        <f>IF(E27&gt;8,"Ninth Place","")</f>
        <v/>
      </c>
      <c r="H29" s="478"/>
      <c r="I29" s="483" t="str">
        <f>IF($E$27&gt;8,VLOOKUP(9,$AB$4:$AP$17,15,FALSE),"")</f>
        <v/>
      </c>
      <c r="J29" s="484"/>
      <c r="K29" s="514" t="str">
        <f t="shared" si="47"/>
        <v/>
      </c>
      <c r="L29" s="515"/>
      <c r="M29" s="514" t="str">
        <f t="shared" si="48"/>
        <v/>
      </c>
      <c r="N29" s="517"/>
      <c r="P29" s="118">
        <v>9</v>
      </c>
      <c r="Q29" s="108">
        <v>4</v>
      </c>
      <c r="U29" s="148"/>
      <c r="V29" s="148"/>
      <c r="W29" s="430"/>
      <c r="X29" s="107"/>
      <c r="Y29" s="107"/>
      <c r="Z29" s="429"/>
      <c r="AA29" s="148"/>
      <c r="AB29" s="148"/>
    </row>
    <row r="30" spans="2:43" ht="18" customHeight="1" x14ac:dyDescent="0.2">
      <c r="D30" s="87" t="s">
        <v>153</v>
      </c>
      <c r="E30" s="181" t="e">
        <f>SUM(U4:U17)/E27</f>
        <v>#DIV/0!</v>
      </c>
      <c r="G30" s="477" t="str">
        <f>IF(E27&gt;9,"Tenth Place","")</f>
        <v/>
      </c>
      <c r="H30" s="478"/>
      <c r="I30" s="483" t="str">
        <f>IF($E$27&gt;9,VLOOKUP(10,$AB$4:$AP$17,15,FALSE),"")</f>
        <v/>
      </c>
      <c r="J30" s="484"/>
      <c r="K30" s="514" t="str">
        <f t="shared" si="47"/>
        <v/>
      </c>
      <c r="L30" s="515"/>
      <c r="M30" s="514" t="str">
        <f t="shared" si="48"/>
        <v/>
      </c>
      <c r="N30" s="517"/>
      <c r="P30" s="118">
        <v>10</v>
      </c>
      <c r="Q30" s="108">
        <v>4</v>
      </c>
      <c r="U30" s="148"/>
      <c r="V30" s="148"/>
      <c r="W30" s="430"/>
      <c r="X30" s="107"/>
      <c r="Y30" s="88" t="s">
        <v>164</v>
      </c>
      <c r="Z30" s="429">
        <f>SUM(Z22:Z26)</f>
        <v>0</v>
      </c>
      <c r="AA30" s="148"/>
      <c r="AB30" s="148"/>
    </row>
    <row r="31" spans="2:43" ht="18" customHeight="1" x14ac:dyDescent="0.2">
      <c r="D31" s="87" t="s">
        <v>155</v>
      </c>
      <c r="E31" s="434" t="e">
        <f>E24+E30</f>
        <v>#DIV/0!</v>
      </c>
      <c r="G31" s="477" t="str">
        <f>IF(E27&gt;10,"Eleventh Place","")</f>
        <v/>
      </c>
      <c r="H31" s="478"/>
      <c r="I31" s="483" t="str">
        <f>IF($E$27&gt;10,VLOOKUP(11,$AB$4:$AP$17,15,FALSE),"")</f>
        <v/>
      </c>
      <c r="J31" s="484"/>
      <c r="K31" s="514" t="str">
        <f t="shared" si="47"/>
        <v/>
      </c>
      <c r="L31" s="515"/>
      <c r="M31" s="514" t="str">
        <f t="shared" si="48"/>
        <v/>
      </c>
      <c r="N31" s="517"/>
      <c r="P31" s="118">
        <v>11</v>
      </c>
      <c r="Q31" s="108">
        <v>4</v>
      </c>
      <c r="W31" s="30"/>
    </row>
    <row r="32" spans="2:43" ht="18" customHeight="1" thickBot="1" x14ac:dyDescent="0.25">
      <c r="D32" s="87" t="s">
        <v>158</v>
      </c>
      <c r="E32" s="418" t="e">
        <f>E31/(E24+E30)</f>
        <v>#DIV/0!</v>
      </c>
      <c r="G32" s="479" t="str">
        <f>IF(E27&gt;11,"Twelth Place","")</f>
        <v/>
      </c>
      <c r="H32" s="480"/>
      <c r="I32" s="494" t="str">
        <f>IF($E$27&gt;11,VLOOKUP(12,$AB$4:$AP$17,15,FALSE),"")</f>
        <v/>
      </c>
      <c r="J32" s="495"/>
      <c r="K32" s="523" t="str">
        <f t="shared" si="47"/>
        <v/>
      </c>
      <c r="L32" s="525"/>
      <c r="M32" s="523" t="str">
        <f t="shared" si="48"/>
        <v/>
      </c>
      <c r="N32" s="524"/>
      <c r="P32" s="119">
        <v>12</v>
      </c>
      <c r="Q32" s="111">
        <v>5</v>
      </c>
    </row>
    <row r="33" spans="4:36" ht="18" customHeight="1" x14ac:dyDescent="0.2"/>
    <row r="34" spans="4:36" ht="18" customHeight="1" x14ac:dyDescent="0.2">
      <c r="D34" s="87" t="s">
        <v>352</v>
      </c>
      <c r="E34" s="416">
        <f>_xlfn.MINIFS(Q4:Q17,Q4:Q17,"&gt;0")*86400</f>
        <v>0</v>
      </c>
      <c r="I34" s="505" t="s">
        <v>165</v>
      </c>
      <c r="J34" s="506"/>
      <c r="K34" s="507"/>
    </row>
    <row r="35" spans="4:36" x14ac:dyDescent="0.2">
      <c r="I35" s="97" t="s">
        <v>166</v>
      </c>
      <c r="J35" s="93" t="s">
        <v>167</v>
      </c>
      <c r="K35" s="98" t="s">
        <v>168</v>
      </c>
    </row>
    <row r="36" spans="4:36" x14ac:dyDescent="0.2">
      <c r="D36" s="88" t="s">
        <v>169</v>
      </c>
      <c r="E36" s="47" t="str">
        <f>IF(E21="Yes","Distance","Time")</f>
        <v>Distance</v>
      </c>
      <c r="I36" s="106" t="s">
        <v>170</v>
      </c>
      <c r="J36" s="107" t="s">
        <v>171</v>
      </c>
      <c r="K36" s="108">
        <v>600</v>
      </c>
      <c r="T36" s="4"/>
    </row>
    <row r="37" spans="4:36" x14ac:dyDescent="0.2">
      <c r="D37" s="2" t="s">
        <v>172</v>
      </c>
      <c r="I37" s="106" t="s">
        <v>157</v>
      </c>
      <c r="J37" s="126" t="s">
        <v>173</v>
      </c>
      <c r="K37" s="108">
        <v>550</v>
      </c>
    </row>
    <row r="38" spans="4:36" x14ac:dyDescent="0.2">
      <c r="D38" s="2"/>
      <c r="I38" s="109" t="s">
        <v>174</v>
      </c>
      <c r="J38" s="110" t="s">
        <v>175</v>
      </c>
      <c r="K38" s="111">
        <v>480</v>
      </c>
    </row>
    <row r="39" spans="4:36" x14ac:dyDescent="0.2">
      <c r="D39" s="2"/>
    </row>
    <row r="41" spans="4:36" x14ac:dyDescent="0.2">
      <c r="AJ41" s="1"/>
    </row>
    <row r="42" spans="4:36" x14ac:dyDescent="0.2">
      <c r="D42" s="2"/>
    </row>
    <row r="43" spans="4:36" x14ac:dyDescent="0.2">
      <c r="D43" s="2"/>
    </row>
    <row r="44" spans="4:36" x14ac:dyDescent="0.2">
      <c r="D44" s="2"/>
    </row>
  </sheetData>
  <mergeCells count="57">
    <mergeCell ref="U2:AJ2"/>
    <mergeCell ref="AK20:AN20"/>
    <mergeCell ref="AK2:AO2"/>
    <mergeCell ref="I25:J25"/>
    <mergeCell ref="I34:K34"/>
    <mergeCell ref="M32:N32"/>
    <mergeCell ref="M27:N27"/>
    <mergeCell ref="M28:N28"/>
    <mergeCell ref="M29:N29"/>
    <mergeCell ref="M30:N30"/>
    <mergeCell ref="M31:N31"/>
    <mergeCell ref="K32:L32"/>
    <mergeCell ref="I31:J31"/>
    <mergeCell ref="K27:L27"/>
    <mergeCell ref="K28:L28"/>
    <mergeCell ref="K29:L29"/>
    <mergeCell ref="K30:L30"/>
    <mergeCell ref="K31:L31"/>
    <mergeCell ref="I32:J32"/>
    <mergeCell ref="I26:J26"/>
    <mergeCell ref="I27:J27"/>
    <mergeCell ref="I28:J28"/>
    <mergeCell ref="I29:J29"/>
    <mergeCell ref="I30:J30"/>
    <mergeCell ref="P20:Q20"/>
    <mergeCell ref="K23:L23"/>
    <mergeCell ref="K24:L24"/>
    <mergeCell ref="K25:L25"/>
    <mergeCell ref="K26:L26"/>
    <mergeCell ref="M20:N20"/>
    <mergeCell ref="M21:N21"/>
    <mergeCell ref="M22:N22"/>
    <mergeCell ref="M23:N23"/>
    <mergeCell ref="M24:N24"/>
    <mergeCell ref="M25:N25"/>
    <mergeCell ref="M26:N26"/>
    <mergeCell ref="K20:L20"/>
    <mergeCell ref="K21:L21"/>
    <mergeCell ref="K22:L22"/>
    <mergeCell ref="G20:H20"/>
    <mergeCell ref="I22:J22"/>
    <mergeCell ref="I23:J23"/>
    <mergeCell ref="I24:J24"/>
    <mergeCell ref="G21:H21"/>
    <mergeCell ref="G22:H22"/>
    <mergeCell ref="G23:H23"/>
    <mergeCell ref="G24:H24"/>
    <mergeCell ref="I20:J20"/>
    <mergeCell ref="I21:J21"/>
    <mergeCell ref="G30:H30"/>
    <mergeCell ref="G31:H31"/>
    <mergeCell ref="G32:H32"/>
    <mergeCell ref="G25:H25"/>
    <mergeCell ref="G26:H26"/>
    <mergeCell ref="G27:H27"/>
    <mergeCell ref="G28:H28"/>
    <mergeCell ref="G29:H29"/>
  </mergeCells>
  <conditionalFormatting sqref="P4:P17">
    <cfRule type="cellIs" dxfId="1" priority="3" operator="equal">
      <formula>1</formula>
    </cfRule>
  </conditionalFormatting>
  <conditionalFormatting sqref="T4:U12 T13 T14:U17">
    <cfRule type="cellIs" dxfId="0" priority="1" operator="equal">
      <formula>"Yes"</formula>
    </cfRule>
  </conditionalFormatting>
  <dataValidations count="2">
    <dataValidation type="list" allowBlank="1" showInputMessage="1" showErrorMessage="1" sqref="E21 E25 K4:K17 T4:T17" xr:uid="{FFEC9214-3997-8F4F-959F-0E444AFD61D1}">
      <formula1>$AT$4:$AT$5</formula1>
    </dataValidation>
    <dataValidation type="list" allowBlank="1" showInputMessage="1" showErrorMessage="1" sqref="E23" xr:uid="{2EA0B245-CE74-4F44-88C5-7BBCEEDE7156}">
      <formula1>$I$36:$I$38</formula1>
    </dataValidation>
  </dataValidations>
  <printOptions horizontalCentered="1"/>
  <pageMargins left="0.7" right="0.7" top="0.75" bottom="0.75" header="0.3" footer="0.3"/>
  <pageSetup paperSize="9" scale="55" fitToWidth="2" orientation="landscape" r:id="rId1"/>
  <ignoredErrors>
    <ignoredError sqref="I6 I4 I8:I14" formula="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D3C18-7714-AA4D-8F00-5EC8EB0A2688}">
  <sheetPr>
    <pageSetUpPr fitToPage="1"/>
  </sheetPr>
  <dimension ref="A2:AU43"/>
  <sheetViews>
    <sheetView zoomScaleNormal="100" workbookViewId="0">
      <selection activeCell="AA10" sqref="AA10"/>
    </sheetView>
  </sheetViews>
  <sheetFormatPr baseColWidth="10" defaultColWidth="8.83203125" defaultRowHeight="15" x14ac:dyDescent="0.2"/>
  <cols>
    <col min="1" max="1" width="7.5" customWidth="1"/>
    <col min="2" max="2" width="23.33203125" customWidth="1"/>
    <col min="3" max="3" width="10.83203125" customWidth="1"/>
    <col min="4" max="4" width="5.83203125" customWidth="1"/>
    <col min="5" max="9" width="10.83203125" customWidth="1"/>
    <col min="10" max="10" width="5.83203125" customWidth="1"/>
    <col min="11" max="15" width="10.83203125" customWidth="1"/>
    <col min="16" max="16" width="5.83203125" customWidth="1"/>
    <col min="17" max="17" width="14.83203125" customWidth="1"/>
    <col min="18" max="18" width="14.83203125" style="1" customWidth="1"/>
    <col min="19" max="19" width="7.83203125" customWidth="1"/>
    <col min="20" max="20" width="14.83203125" customWidth="1"/>
    <col min="21" max="21" width="14.83203125" style="1" customWidth="1"/>
    <col min="23" max="23" width="14.83203125" customWidth="1"/>
    <col min="24" max="24" width="14.83203125" style="1" customWidth="1"/>
    <col min="26" max="26" width="14.83203125" customWidth="1"/>
    <col min="27" max="27" width="14.83203125" style="1" customWidth="1"/>
    <col min="29" max="29" width="14.83203125" customWidth="1"/>
    <col min="30" max="30" width="14.83203125" style="1" customWidth="1"/>
  </cols>
  <sheetData>
    <row r="2" spans="1:47" x14ac:dyDescent="0.2">
      <c r="Q2" s="3" t="s">
        <v>380</v>
      </c>
      <c r="R2" s="53" t="s">
        <v>381</v>
      </c>
      <c r="S2" s="3"/>
      <c r="T2" s="3"/>
      <c r="U2" s="53">
        <v>2</v>
      </c>
      <c r="V2" s="3"/>
      <c r="W2" s="3"/>
      <c r="X2" s="53" t="s">
        <v>382</v>
      </c>
      <c r="Y2" s="3"/>
      <c r="Z2" s="3"/>
      <c r="AA2" s="53" t="s">
        <v>384</v>
      </c>
      <c r="AB2" s="3"/>
      <c r="AC2" s="3"/>
      <c r="AD2" s="53" t="s">
        <v>383</v>
      </c>
    </row>
    <row r="3" spans="1:47" x14ac:dyDescent="0.2">
      <c r="A3" s="3" t="s">
        <v>176</v>
      </c>
      <c r="B3" s="69">
        <v>3</v>
      </c>
      <c r="Q3" s="3" t="s">
        <v>176</v>
      </c>
      <c r="R3" s="53">
        <f>$B$3</f>
        <v>3</v>
      </c>
      <c r="S3" s="3"/>
      <c r="T3" s="3" t="s">
        <v>176</v>
      </c>
      <c r="U3" s="53">
        <f>$B$3</f>
        <v>3</v>
      </c>
      <c r="V3" s="3"/>
      <c r="W3" s="3" t="s">
        <v>176</v>
      </c>
      <c r="X3" s="53">
        <f>$B$3</f>
        <v>3</v>
      </c>
      <c r="Y3" s="3"/>
      <c r="Z3" s="3" t="s">
        <v>176</v>
      </c>
      <c r="AA3" s="53">
        <f>$B$3</f>
        <v>3</v>
      </c>
      <c r="AB3" s="3"/>
      <c r="AC3" s="3" t="s">
        <v>176</v>
      </c>
      <c r="AD3" s="53">
        <f>$B$3</f>
        <v>3</v>
      </c>
    </row>
    <row r="4" spans="1:47" x14ac:dyDescent="0.2">
      <c r="A4" s="3" t="s">
        <v>177</v>
      </c>
      <c r="B4" s="70" t="s">
        <v>378</v>
      </c>
      <c r="Q4" s="3" t="s">
        <v>177</v>
      </c>
      <c r="R4" s="201" t="str">
        <f>$B$4</f>
        <v>Sunday, July 12</v>
      </c>
      <c r="T4" s="3" t="s">
        <v>177</v>
      </c>
      <c r="U4" s="201" t="str">
        <f>$B$4</f>
        <v>Sunday, July 12</v>
      </c>
      <c r="W4" s="3" t="s">
        <v>177</v>
      </c>
      <c r="X4" s="201" t="str">
        <f>$B$4</f>
        <v>Sunday, July 12</v>
      </c>
      <c r="Z4" s="3" t="s">
        <v>177</v>
      </c>
      <c r="AA4" s="201" t="str">
        <f>$B$4</f>
        <v>Sunday, July 12</v>
      </c>
      <c r="AC4" s="3" t="s">
        <v>177</v>
      </c>
      <c r="AD4" s="201" t="str">
        <f>$B$4</f>
        <v>Sunday, July 12</v>
      </c>
      <c r="AU4" t="s">
        <v>178</v>
      </c>
    </row>
    <row r="5" spans="1:47" x14ac:dyDescent="0.2">
      <c r="A5" s="3"/>
      <c r="B5" s="70"/>
      <c r="Q5" s="3" t="s">
        <v>146</v>
      </c>
      <c r="R5" s="235"/>
      <c r="T5" s="3" t="s">
        <v>146</v>
      </c>
      <c r="U5" s="235"/>
      <c r="W5" s="3" t="s">
        <v>146</v>
      </c>
      <c r="X5" s="235"/>
      <c r="Z5" s="3" t="s">
        <v>146</v>
      </c>
      <c r="AA5" s="235"/>
      <c r="AC5" s="3" t="s">
        <v>146</v>
      </c>
      <c r="AD5" s="235"/>
    </row>
    <row r="6" spans="1:47" x14ac:dyDescent="0.2">
      <c r="A6" s="3"/>
      <c r="B6" s="70"/>
      <c r="Q6" s="33" t="s">
        <v>333</v>
      </c>
      <c r="R6" s="235">
        <v>1.4630000000000001</v>
      </c>
      <c r="T6" s="33" t="s">
        <v>333</v>
      </c>
      <c r="U6" s="235">
        <v>2.1190000000000002</v>
      </c>
      <c r="W6" s="33" t="s">
        <v>333</v>
      </c>
      <c r="X6" s="53">
        <v>1.4630000000000001</v>
      </c>
      <c r="Z6" s="33" t="s">
        <v>333</v>
      </c>
      <c r="AA6" s="235">
        <v>1.0149999999999999</v>
      </c>
      <c r="AC6" s="33" t="s">
        <v>333</v>
      </c>
      <c r="AD6" s="235">
        <v>1.8453634721105581</v>
      </c>
    </row>
    <row r="7" spans="1:47" x14ac:dyDescent="0.2">
      <c r="A7" s="3"/>
      <c r="B7" s="70"/>
      <c r="Q7" s="33" t="s">
        <v>194</v>
      </c>
      <c r="R7" s="235">
        <v>1.698</v>
      </c>
      <c r="T7" s="33" t="s">
        <v>353</v>
      </c>
      <c r="U7" s="235">
        <v>0.59599999999999997</v>
      </c>
      <c r="W7" s="33" t="s">
        <v>194</v>
      </c>
      <c r="X7" s="53">
        <v>1.698</v>
      </c>
      <c r="Z7" s="33" t="s">
        <v>195</v>
      </c>
      <c r="AA7" s="235">
        <v>1.2609999999999999</v>
      </c>
      <c r="AC7" s="33" t="s">
        <v>197</v>
      </c>
      <c r="AD7" s="235">
        <v>1.6981347115419805</v>
      </c>
    </row>
    <row r="8" spans="1:47" x14ac:dyDescent="0.2">
      <c r="A8" s="3"/>
      <c r="B8" s="70"/>
      <c r="Q8" s="33" t="s">
        <v>197</v>
      </c>
      <c r="R8" s="235">
        <v>1.845</v>
      </c>
      <c r="T8" s="33" t="s">
        <v>354</v>
      </c>
      <c r="U8" s="235">
        <v>2.3250000000000002</v>
      </c>
      <c r="W8" s="33" t="s">
        <v>197</v>
      </c>
      <c r="X8" s="53">
        <v>0.82099999999999995</v>
      </c>
      <c r="Z8" s="33" t="s">
        <v>194</v>
      </c>
      <c r="AA8" s="235">
        <v>1.264</v>
      </c>
      <c r="AC8" s="33" t="s">
        <v>194</v>
      </c>
      <c r="AD8" s="235">
        <v>1.3179832864106988</v>
      </c>
    </row>
    <row r="9" spans="1:47" x14ac:dyDescent="0.2">
      <c r="A9" s="3"/>
      <c r="B9" s="70"/>
      <c r="Q9" s="33" t="s">
        <v>361</v>
      </c>
      <c r="R9" s="235"/>
      <c r="T9" s="33" t="s">
        <v>361</v>
      </c>
      <c r="U9" s="235"/>
      <c r="W9" s="33" t="s">
        <v>353</v>
      </c>
      <c r="X9" s="53">
        <v>2.1190000000000002</v>
      </c>
      <c r="Z9" s="33" t="s">
        <v>385</v>
      </c>
      <c r="AA9" s="235">
        <v>2.1349999999999998</v>
      </c>
      <c r="AC9" s="33" t="s">
        <v>353</v>
      </c>
      <c r="AD9" s="235">
        <v>2.1192005381607877</v>
      </c>
    </row>
    <row r="10" spans="1:47" x14ac:dyDescent="0.2">
      <c r="A10" s="3"/>
      <c r="B10" s="70"/>
      <c r="E10" s="505" t="s">
        <v>379</v>
      </c>
      <c r="F10" s="506"/>
      <c r="G10" s="506"/>
      <c r="H10" s="506"/>
      <c r="I10" s="507"/>
      <c r="K10" s="505" t="s">
        <v>379</v>
      </c>
      <c r="L10" s="506"/>
      <c r="M10" s="506"/>
      <c r="N10" s="506"/>
      <c r="O10" s="507"/>
      <c r="Q10" s="33"/>
      <c r="R10" s="235"/>
      <c r="T10" s="33"/>
      <c r="U10" s="235"/>
      <c r="W10" s="33" t="s">
        <v>361</v>
      </c>
      <c r="X10" s="235"/>
      <c r="Z10" s="33" t="s">
        <v>361</v>
      </c>
      <c r="AA10" s="235"/>
      <c r="AC10" s="33" t="s">
        <v>361</v>
      </c>
      <c r="AD10" s="235"/>
    </row>
    <row r="11" spans="1:47" x14ac:dyDescent="0.2">
      <c r="A11" s="3"/>
      <c r="B11" s="70"/>
      <c r="E11" s="114">
        <v>1</v>
      </c>
      <c r="F11" s="104">
        <v>2</v>
      </c>
      <c r="G11" s="104">
        <v>3</v>
      </c>
      <c r="H11" s="104">
        <v>4</v>
      </c>
      <c r="I11" s="105">
        <v>5</v>
      </c>
      <c r="J11" s="53"/>
      <c r="K11" s="114">
        <v>1</v>
      </c>
      <c r="L11" s="104">
        <v>2</v>
      </c>
      <c r="M11" s="104">
        <v>3</v>
      </c>
      <c r="N11" s="104">
        <v>4</v>
      </c>
      <c r="O11" s="105">
        <v>5</v>
      </c>
      <c r="Q11" s="33"/>
      <c r="R11" s="235"/>
      <c r="U11" s="235"/>
      <c r="X11" s="235"/>
      <c r="AA11" s="235"/>
      <c r="AD11" s="235"/>
    </row>
    <row r="12" spans="1:47" x14ac:dyDescent="0.2">
      <c r="E12" s="460" t="s">
        <v>179</v>
      </c>
      <c r="F12" s="460"/>
      <c r="G12" s="460"/>
      <c r="H12" s="460"/>
      <c r="I12" s="460"/>
      <c r="L12" s="52" t="s">
        <v>180</v>
      </c>
      <c r="M12" s="51"/>
      <c r="N12" s="51"/>
      <c r="O12" s="51"/>
      <c r="Q12" s="3" t="s">
        <v>283</v>
      </c>
      <c r="R12" s="235">
        <f>SUM(R6:R11)</f>
        <v>5.0060000000000002</v>
      </c>
      <c r="T12" s="3" t="s">
        <v>283</v>
      </c>
      <c r="U12" s="235">
        <f>SUM(U6:U11)</f>
        <v>5.0400000000000009</v>
      </c>
      <c r="W12" s="3" t="s">
        <v>283</v>
      </c>
      <c r="X12" s="235">
        <f>SUM(X6:X11)</f>
        <v>6.1010000000000009</v>
      </c>
      <c r="Z12" s="3" t="s">
        <v>283</v>
      </c>
      <c r="AA12" s="235">
        <f>SUM(AA6:AA11)</f>
        <v>5.6749999999999998</v>
      </c>
      <c r="AC12" s="3" t="s">
        <v>283</v>
      </c>
      <c r="AD12" s="235">
        <f>SUM(AD6:AD11)</f>
        <v>6.9806820082240257</v>
      </c>
    </row>
    <row r="13" spans="1:47" ht="16" customHeight="1" thickBot="1" x14ac:dyDescent="0.25">
      <c r="E13" s="234">
        <f>R12</f>
        <v>5.0060000000000002</v>
      </c>
      <c r="F13" s="234">
        <f>U12</f>
        <v>5.0400000000000009</v>
      </c>
      <c r="G13" s="234">
        <f>X12</f>
        <v>6.1010000000000009</v>
      </c>
      <c r="H13" s="234">
        <f>AA12</f>
        <v>5.6749999999999998</v>
      </c>
      <c r="I13" s="234">
        <f>AD12</f>
        <v>6.9806820082240257</v>
      </c>
      <c r="K13" s="234">
        <f>E13</f>
        <v>5.0060000000000002</v>
      </c>
      <c r="L13" s="234">
        <f>F13</f>
        <v>5.0400000000000009</v>
      </c>
      <c r="M13" s="234">
        <f>G13</f>
        <v>6.1010000000000009</v>
      </c>
      <c r="N13" s="234">
        <f>H13</f>
        <v>5.6749999999999998</v>
      </c>
      <c r="O13" s="234">
        <f>I13</f>
        <v>6.9806820082240257</v>
      </c>
      <c r="R13" s="66"/>
      <c r="U13" s="66"/>
      <c r="X13" s="66"/>
      <c r="AA13" s="66"/>
      <c r="AD13" s="66"/>
    </row>
    <row r="14" spans="1:47" ht="16" thickBot="1" x14ac:dyDescent="0.25">
      <c r="B14" s="47" t="s">
        <v>181</v>
      </c>
      <c r="C14" s="47" t="s">
        <v>182</v>
      </c>
      <c r="D14" s="48"/>
      <c r="E14" s="48"/>
      <c r="F14" s="48"/>
      <c r="G14" s="48"/>
      <c r="H14" s="48"/>
      <c r="I14" s="48"/>
      <c r="J14" s="48"/>
      <c r="K14" s="533"/>
      <c r="L14" s="533"/>
      <c r="M14" s="47"/>
      <c r="N14" s="47"/>
      <c r="O14" s="93"/>
      <c r="Q14" s="47" t="s">
        <v>181</v>
      </c>
      <c r="R14" s="54" t="s">
        <v>183</v>
      </c>
      <c r="T14" s="47" t="s">
        <v>181</v>
      </c>
      <c r="U14" s="54" t="s">
        <v>183</v>
      </c>
      <c r="W14" s="47" t="s">
        <v>181</v>
      </c>
      <c r="X14" s="54" t="s">
        <v>183</v>
      </c>
      <c r="Z14" s="47" t="s">
        <v>181</v>
      </c>
      <c r="AA14" s="54" t="s">
        <v>183</v>
      </c>
      <c r="AC14" s="47" t="s">
        <v>181</v>
      </c>
      <c r="AD14" s="54" t="s">
        <v>183</v>
      </c>
    </row>
    <row r="15" spans="1:47" ht="16" thickBot="1" x14ac:dyDescent="0.25">
      <c r="K15" s="53"/>
      <c r="L15" s="53"/>
      <c r="M15" s="3"/>
      <c r="N15" s="3"/>
      <c r="O15" s="3"/>
    </row>
    <row r="16" spans="1:47" ht="22" customHeight="1" x14ac:dyDescent="0.2">
      <c r="B16" s="3" t="str">
        <f>'2026 Applebee Finish Summary'!I5</f>
        <v>Estella</v>
      </c>
      <c r="C16" s="433">
        <f>'Race #2'!I4</f>
        <v>110</v>
      </c>
      <c r="E16" s="41" t="e">
        <f t="shared" ref="E16:I30" si="0">(($C16-MIN($C$16:$C$29))*E$13)/(60*60*24)</f>
        <v>#REF!</v>
      </c>
      <c r="F16" s="41" t="e">
        <f t="shared" si="0"/>
        <v>#REF!</v>
      </c>
      <c r="G16" s="41" t="e">
        <f t="shared" si="0"/>
        <v>#REF!</v>
      </c>
      <c r="H16" s="41" t="e">
        <f t="shared" si="0"/>
        <v>#REF!</v>
      </c>
      <c r="I16" s="41" t="e">
        <f t="shared" si="0"/>
        <v>#REF!</v>
      </c>
      <c r="K16" s="45" t="e">
        <f t="shared" ref="K16:K28" si="1">$R$32-E16</f>
        <v>#REF!</v>
      </c>
      <c r="L16" s="45" t="e">
        <f t="shared" ref="L16:L28" si="2">$R$32-F16</f>
        <v>#REF!</v>
      </c>
      <c r="M16" s="45" t="e">
        <f t="shared" ref="M16:M30" si="3">$R$32-G16</f>
        <v>#REF!</v>
      </c>
      <c r="N16" s="45" t="e">
        <f t="shared" ref="N16:N30" si="4">$R$32-H16</f>
        <v>#REF!</v>
      </c>
      <c r="O16" s="45" t="e">
        <f t="shared" ref="O16:O28" si="5">$R$32-I16</f>
        <v>#REF!</v>
      </c>
      <c r="Q16" s="64" t="str">
        <f t="shared" ref="Q16:Q28" si="6">B16</f>
        <v>Estella</v>
      </c>
      <c r="R16" s="74" t="e">
        <f>K16</f>
        <v>#REF!</v>
      </c>
      <c r="T16" s="64" t="str">
        <f t="shared" ref="T16:T28" si="7">B16</f>
        <v>Estella</v>
      </c>
      <c r="U16" s="74" t="e">
        <f>L16</f>
        <v>#REF!</v>
      </c>
      <c r="W16" s="64" t="str">
        <f>B16</f>
        <v>Estella</v>
      </c>
      <c r="X16" s="74" t="e">
        <f t="shared" ref="X16:X30" si="8">M16</f>
        <v>#REF!</v>
      </c>
      <c r="Z16" s="64" t="str">
        <f>B16</f>
        <v>Estella</v>
      </c>
      <c r="AA16" s="74" t="e">
        <f>N16</f>
        <v>#REF!</v>
      </c>
      <c r="AC16" s="64" t="str">
        <f>B16</f>
        <v>Estella</v>
      </c>
      <c r="AD16" s="74" t="e">
        <f t="shared" ref="AD16:AD30" si="9">O16</f>
        <v>#REF!</v>
      </c>
    </row>
    <row r="17" spans="2:30" ht="22" customHeight="1" x14ac:dyDescent="0.2">
      <c r="B17" s="3" t="str">
        <f>'2026 Applebee Finish Summary'!I6</f>
        <v>Exit Strategy</v>
      </c>
      <c r="C17" s="433">
        <f>'Race #2'!I5</f>
        <v>96.5</v>
      </c>
      <c r="E17" s="41" t="e">
        <f t="shared" si="0"/>
        <v>#REF!</v>
      </c>
      <c r="F17" s="41" t="e">
        <f t="shared" si="0"/>
        <v>#REF!</v>
      </c>
      <c r="G17" s="41" t="e">
        <f t="shared" si="0"/>
        <v>#REF!</v>
      </c>
      <c r="H17" s="41" t="e">
        <f t="shared" si="0"/>
        <v>#REF!</v>
      </c>
      <c r="I17" s="41" t="e">
        <f t="shared" si="0"/>
        <v>#REF!</v>
      </c>
      <c r="K17" s="45" t="e">
        <f t="shared" si="1"/>
        <v>#REF!</v>
      </c>
      <c r="L17" s="45" t="e">
        <f t="shared" si="2"/>
        <v>#REF!</v>
      </c>
      <c r="M17" s="45" t="e">
        <f t="shared" si="3"/>
        <v>#REF!</v>
      </c>
      <c r="N17" s="45" t="e">
        <f t="shared" si="4"/>
        <v>#REF!</v>
      </c>
      <c r="O17" s="45" t="e">
        <f t="shared" si="5"/>
        <v>#REF!</v>
      </c>
      <c r="Q17" s="65" t="str">
        <f t="shared" si="6"/>
        <v>Exit Strategy</v>
      </c>
      <c r="R17" s="75" t="e">
        <f t="shared" ref="R17:R30" si="10">K17</f>
        <v>#REF!</v>
      </c>
      <c r="T17" s="65" t="str">
        <f t="shared" si="7"/>
        <v>Exit Strategy</v>
      </c>
      <c r="U17" s="75" t="e">
        <f t="shared" ref="U17:U30" si="11">L17</f>
        <v>#REF!</v>
      </c>
      <c r="W17" s="65" t="str">
        <f t="shared" ref="W17:W30" si="12">B17</f>
        <v>Exit Strategy</v>
      </c>
      <c r="X17" s="75" t="e">
        <f t="shared" si="8"/>
        <v>#REF!</v>
      </c>
      <c r="Z17" s="65" t="str">
        <f t="shared" ref="Z17:Z30" si="13">B17</f>
        <v>Exit Strategy</v>
      </c>
      <c r="AA17" s="75" t="e">
        <f t="shared" ref="AA17:AA30" si="14">N17</f>
        <v>#REF!</v>
      </c>
      <c r="AC17" s="65" t="str">
        <f t="shared" ref="AC17:AC30" si="15">B17</f>
        <v>Exit Strategy</v>
      </c>
      <c r="AD17" s="75" t="e">
        <f t="shared" si="9"/>
        <v>#REF!</v>
      </c>
    </row>
    <row r="18" spans="2:30" ht="22" customHeight="1" x14ac:dyDescent="0.2">
      <c r="B18" s="3" t="e">
        <f>'2026 Applebee Finish Summary'!#REF!</f>
        <v>#REF!</v>
      </c>
      <c r="C18" s="433" t="e">
        <f>'Race #2'!#REF!</f>
        <v>#REF!</v>
      </c>
      <c r="E18" s="41" t="e">
        <f t="shared" si="0"/>
        <v>#REF!</v>
      </c>
      <c r="F18" s="41" t="e">
        <f t="shared" si="0"/>
        <v>#REF!</v>
      </c>
      <c r="G18" s="41" t="e">
        <f t="shared" si="0"/>
        <v>#REF!</v>
      </c>
      <c r="H18" s="41" t="e">
        <f t="shared" si="0"/>
        <v>#REF!</v>
      </c>
      <c r="I18" s="41" t="e">
        <f t="shared" si="0"/>
        <v>#REF!</v>
      </c>
      <c r="K18" s="45" t="e">
        <f t="shared" si="1"/>
        <v>#REF!</v>
      </c>
      <c r="L18" s="45" t="e">
        <f t="shared" si="2"/>
        <v>#REF!</v>
      </c>
      <c r="M18" s="45" t="e">
        <f t="shared" si="3"/>
        <v>#REF!</v>
      </c>
      <c r="N18" s="45" t="e">
        <f t="shared" si="4"/>
        <v>#REF!</v>
      </c>
      <c r="O18" s="45" t="e">
        <f t="shared" si="5"/>
        <v>#REF!</v>
      </c>
      <c r="Q18" s="65" t="e">
        <f t="shared" si="6"/>
        <v>#REF!</v>
      </c>
      <c r="R18" s="75" t="e">
        <f t="shared" si="10"/>
        <v>#REF!</v>
      </c>
      <c r="T18" s="65" t="e">
        <f t="shared" si="7"/>
        <v>#REF!</v>
      </c>
      <c r="U18" s="75" t="e">
        <f t="shared" si="11"/>
        <v>#REF!</v>
      </c>
      <c r="W18" s="65" t="e">
        <f t="shared" si="12"/>
        <v>#REF!</v>
      </c>
      <c r="X18" s="75" t="e">
        <f t="shared" si="8"/>
        <v>#REF!</v>
      </c>
      <c r="Z18" s="65" t="e">
        <f t="shared" si="13"/>
        <v>#REF!</v>
      </c>
      <c r="AA18" s="75" t="e">
        <f t="shared" si="14"/>
        <v>#REF!</v>
      </c>
      <c r="AC18" s="65" t="e">
        <f t="shared" si="15"/>
        <v>#REF!</v>
      </c>
      <c r="AD18" s="75" t="e">
        <f t="shared" si="9"/>
        <v>#REF!</v>
      </c>
    </row>
    <row r="19" spans="2:30" ht="22" customHeight="1" x14ac:dyDescent="0.2">
      <c r="B19" s="3" t="str">
        <f>'2026 Applebee Finish Summary'!I7</f>
        <v>Magoo</v>
      </c>
      <c r="C19" s="433">
        <f>'Race #2'!I6</f>
        <v>213</v>
      </c>
      <c r="E19" s="41" t="e">
        <f t="shared" si="0"/>
        <v>#REF!</v>
      </c>
      <c r="F19" s="41" t="e">
        <f t="shared" si="0"/>
        <v>#REF!</v>
      </c>
      <c r="G19" s="41" t="e">
        <f t="shared" si="0"/>
        <v>#REF!</v>
      </c>
      <c r="H19" s="41" t="e">
        <f t="shared" si="0"/>
        <v>#REF!</v>
      </c>
      <c r="I19" s="41" t="e">
        <f t="shared" si="0"/>
        <v>#REF!</v>
      </c>
      <c r="K19" s="45" t="e">
        <f t="shared" si="1"/>
        <v>#REF!</v>
      </c>
      <c r="L19" s="45" t="e">
        <f t="shared" si="2"/>
        <v>#REF!</v>
      </c>
      <c r="M19" s="45" t="e">
        <f t="shared" si="3"/>
        <v>#REF!</v>
      </c>
      <c r="N19" s="45" t="e">
        <f t="shared" si="4"/>
        <v>#REF!</v>
      </c>
      <c r="O19" s="45" t="e">
        <f t="shared" si="5"/>
        <v>#REF!</v>
      </c>
      <c r="Q19" s="65" t="str">
        <f t="shared" si="6"/>
        <v>Magoo</v>
      </c>
      <c r="R19" s="75" t="e">
        <f t="shared" si="10"/>
        <v>#REF!</v>
      </c>
      <c r="T19" s="65" t="str">
        <f t="shared" si="7"/>
        <v>Magoo</v>
      </c>
      <c r="U19" s="75" t="e">
        <f t="shared" si="11"/>
        <v>#REF!</v>
      </c>
      <c r="W19" s="65" t="str">
        <f t="shared" si="12"/>
        <v>Magoo</v>
      </c>
      <c r="X19" s="75" t="e">
        <f t="shared" si="8"/>
        <v>#REF!</v>
      </c>
      <c r="Z19" s="65" t="str">
        <f t="shared" si="13"/>
        <v>Magoo</v>
      </c>
      <c r="AA19" s="75" t="e">
        <f t="shared" si="14"/>
        <v>#REF!</v>
      </c>
      <c r="AC19" s="65" t="str">
        <f t="shared" si="15"/>
        <v>Magoo</v>
      </c>
      <c r="AD19" s="75" t="e">
        <f t="shared" si="9"/>
        <v>#REF!</v>
      </c>
    </row>
    <row r="20" spans="2:30" ht="22" customHeight="1" x14ac:dyDescent="0.2">
      <c r="B20" s="3" t="str">
        <f>'2026 Applebee Finish Summary'!I8</f>
        <v>Feng Shui</v>
      </c>
      <c r="C20" s="433">
        <f>'Race #2'!I7</f>
        <v>188.1227776756605</v>
      </c>
      <c r="E20" s="41" t="e">
        <f t="shared" si="0"/>
        <v>#REF!</v>
      </c>
      <c r="F20" s="41" t="e">
        <f t="shared" si="0"/>
        <v>#REF!</v>
      </c>
      <c r="G20" s="41" t="e">
        <f t="shared" si="0"/>
        <v>#REF!</v>
      </c>
      <c r="H20" s="41" t="e">
        <f t="shared" si="0"/>
        <v>#REF!</v>
      </c>
      <c r="I20" s="41" t="e">
        <f t="shared" si="0"/>
        <v>#REF!</v>
      </c>
      <c r="K20" s="45" t="e">
        <f t="shared" si="1"/>
        <v>#REF!</v>
      </c>
      <c r="L20" s="45" t="e">
        <f t="shared" si="2"/>
        <v>#REF!</v>
      </c>
      <c r="M20" s="45" t="e">
        <f t="shared" si="3"/>
        <v>#REF!</v>
      </c>
      <c r="N20" s="45" t="e">
        <f t="shared" si="4"/>
        <v>#REF!</v>
      </c>
      <c r="O20" s="45" t="e">
        <f t="shared" si="5"/>
        <v>#REF!</v>
      </c>
      <c r="Q20" s="65" t="str">
        <f t="shared" si="6"/>
        <v>Feng Shui</v>
      </c>
      <c r="R20" s="75" t="e">
        <f t="shared" si="10"/>
        <v>#REF!</v>
      </c>
      <c r="T20" s="65" t="str">
        <f t="shared" si="7"/>
        <v>Feng Shui</v>
      </c>
      <c r="U20" s="75" t="e">
        <f t="shared" si="11"/>
        <v>#REF!</v>
      </c>
      <c r="W20" s="65" t="str">
        <f t="shared" si="12"/>
        <v>Feng Shui</v>
      </c>
      <c r="X20" s="75" t="e">
        <f t="shared" si="8"/>
        <v>#REF!</v>
      </c>
      <c r="Z20" s="65" t="str">
        <f t="shared" si="13"/>
        <v>Feng Shui</v>
      </c>
      <c r="AA20" s="75" t="e">
        <f t="shared" si="14"/>
        <v>#REF!</v>
      </c>
      <c r="AC20" s="65" t="str">
        <f t="shared" si="15"/>
        <v>Feng Shui</v>
      </c>
      <c r="AD20" s="75" t="e">
        <f t="shared" si="9"/>
        <v>#REF!</v>
      </c>
    </row>
    <row r="21" spans="2:30" ht="22" customHeight="1" x14ac:dyDescent="0.2">
      <c r="B21" s="3" t="str">
        <f>'2026 Applebee Finish Summary'!I9</f>
        <v>Grin</v>
      </c>
      <c r="C21" s="433">
        <f>'Race #2'!I8</f>
        <v>207.16583579676276</v>
      </c>
      <c r="E21" s="41" t="e">
        <f t="shared" si="0"/>
        <v>#REF!</v>
      </c>
      <c r="F21" s="41" t="e">
        <f t="shared" si="0"/>
        <v>#REF!</v>
      </c>
      <c r="G21" s="41" t="e">
        <f t="shared" si="0"/>
        <v>#REF!</v>
      </c>
      <c r="H21" s="41" t="e">
        <f t="shared" si="0"/>
        <v>#REF!</v>
      </c>
      <c r="I21" s="41" t="e">
        <f t="shared" si="0"/>
        <v>#REF!</v>
      </c>
      <c r="K21" s="45" t="e">
        <f t="shared" si="1"/>
        <v>#REF!</v>
      </c>
      <c r="L21" s="45" t="e">
        <f t="shared" si="2"/>
        <v>#REF!</v>
      </c>
      <c r="M21" s="45" t="e">
        <f t="shared" si="3"/>
        <v>#REF!</v>
      </c>
      <c r="N21" s="45" t="e">
        <f t="shared" si="4"/>
        <v>#REF!</v>
      </c>
      <c r="O21" s="45" t="e">
        <f t="shared" si="5"/>
        <v>#REF!</v>
      </c>
      <c r="Q21" s="65" t="str">
        <f t="shared" si="6"/>
        <v>Grin</v>
      </c>
      <c r="R21" s="75" t="e">
        <f t="shared" si="10"/>
        <v>#REF!</v>
      </c>
      <c r="T21" s="65" t="str">
        <f t="shared" si="7"/>
        <v>Grin</v>
      </c>
      <c r="U21" s="75" t="e">
        <f t="shared" si="11"/>
        <v>#REF!</v>
      </c>
      <c r="W21" s="65" t="str">
        <f t="shared" si="12"/>
        <v>Grin</v>
      </c>
      <c r="X21" s="75" t="e">
        <f t="shared" si="8"/>
        <v>#REF!</v>
      </c>
      <c r="Z21" s="65" t="str">
        <f t="shared" si="13"/>
        <v>Grin</v>
      </c>
      <c r="AA21" s="75" t="e">
        <f t="shared" si="14"/>
        <v>#REF!</v>
      </c>
      <c r="AC21" s="65" t="str">
        <f t="shared" si="15"/>
        <v>Grin</v>
      </c>
      <c r="AD21" s="75" t="e">
        <f t="shared" si="9"/>
        <v>#REF!</v>
      </c>
    </row>
    <row r="22" spans="2:30" ht="22" customHeight="1" x14ac:dyDescent="0.2">
      <c r="B22" s="3" t="str">
        <f>'2026 Applebee Finish Summary'!I10</f>
        <v>Kristin B II</v>
      </c>
      <c r="C22" s="433">
        <f>'Race #2'!I9</f>
        <v>191.23804263236943</v>
      </c>
      <c r="E22" s="41" t="e">
        <f t="shared" si="0"/>
        <v>#REF!</v>
      </c>
      <c r="F22" s="41" t="e">
        <f t="shared" si="0"/>
        <v>#REF!</v>
      </c>
      <c r="G22" s="41" t="e">
        <f t="shared" si="0"/>
        <v>#REF!</v>
      </c>
      <c r="H22" s="41" t="e">
        <f t="shared" si="0"/>
        <v>#REF!</v>
      </c>
      <c r="I22" s="41" t="e">
        <f t="shared" si="0"/>
        <v>#REF!</v>
      </c>
      <c r="K22" s="45" t="e">
        <f t="shared" si="1"/>
        <v>#REF!</v>
      </c>
      <c r="L22" s="45" t="e">
        <f t="shared" si="2"/>
        <v>#REF!</v>
      </c>
      <c r="M22" s="45" t="e">
        <f t="shared" si="3"/>
        <v>#REF!</v>
      </c>
      <c r="N22" s="45" t="e">
        <f t="shared" si="4"/>
        <v>#REF!</v>
      </c>
      <c r="O22" s="45" t="e">
        <f t="shared" si="5"/>
        <v>#REF!</v>
      </c>
      <c r="Q22" s="65" t="str">
        <f t="shared" si="6"/>
        <v>Kristin B II</v>
      </c>
      <c r="R22" s="75" t="e">
        <f t="shared" si="10"/>
        <v>#REF!</v>
      </c>
      <c r="T22" s="65" t="str">
        <f t="shared" si="7"/>
        <v>Kristin B II</v>
      </c>
      <c r="U22" s="75" t="e">
        <f t="shared" si="11"/>
        <v>#REF!</v>
      </c>
      <c r="W22" s="65" t="str">
        <f t="shared" si="12"/>
        <v>Kristin B II</v>
      </c>
      <c r="X22" s="75" t="e">
        <f t="shared" si="8"/>
        <v>#REF!</v>
      </c>
      <c r="Z22" s="65" t="str">
        <f t="shared" si="13"/>
        <v>Kristin B II</v>
      </c>
      <c r="AA22" s="75" t="e">
        <f t="shared" si="14"/>
        <v>#REF!</v>
      </c>
      <c r="AC22" s="65" t="str">
        <f t="shared" si="15"/>
        <v>Kristin B II</v>
      </c>
      <c r="AD22" s="75" t="e">
        <f t="shared" si="9"/>
        <v>#REF!</v>
      </c>
    </row>
    <row r="23" spans="2:30" ht="22" customHeight="1" x14ac:dyDescent="0.2">
      <c r="B23" s="3" t="str">
        <f>'2026 Applebee Finish Summary'!I11</f>
        <v>MacGuffin</v>
      </c>
      <c r="C23" s="433">
        <f>'Race #2'!I10</f>
        <v>204</v>
      </c>
      <c r="E23" s="41" t="e">
        <f t="shared" si="0"/>
        <v>#REF!</v>
      </c>
      <c r="F23" s="41" t="e">
        <f t="shared" si="0"/>
        <v>#REF!</v>
      </c>
      <c r="G23" s="41" t="e">
        <f t="shared" si="0"/>
        <v>#REF!</v>
      </c>
      <c r="H23" s="41" t="e">
        <f t="shared" si="0"/>
        <v>#REF!</v>
      </c>
      <c r="I23" s="41" t="e">
        <f t="shared" si="0"/>
        <v>#REF!</v>
      </c>
      <c r="K23" s="45" t="e">
        <f t="shared" si="1"/>
        <v>#REF!</v>
      </c>
      <c r="L23" s="45" t="e">
        <f t="shared" si="2"/>
        <v>#REF!</v>
      </c>
      <c r="M23" s="45" t="e">
        <f t="shared" si="3"/>
        <v>#REF!</v>
      </c>
      <c r="N23" s="45" t="e">
        <f t="shared" si="4"/>
        <v>#REF!</v>
      </c>
      <c r="O23" s="45" t="e">
        <f t="shared" si="5"/>
        <v>#REF!</v>
      </c>
      <c r="Q23" s="65" t="str">
        <f t="shared" si="6"/>
        <v>MacGuffin</v>
      </c>
      <c r="R23" s="75" t="e">
        <f t="shared" si="10"/>
        <v>#REF!</v>
      </c>
      <c r="T23" s="65" t="str">
        <f t="shared" si="7"/>
        <v>MacGuffin</v>
      </c>
      <c r="U23" s="75" t="e">
        <f t="shared" si="11"/>
        <v>#REF!</v>
      </c>
      <c r="W23" s="65" t="str">
        <f t="shared" si="12"/>
        <v>MacGuffin</v>
      </c>
      <c r="X23" s="75" t="e">
        <f t="shared" si="8"/>
        <v>#REF!</v>
      </c>
      <c r="Z23" s="65" t="str">
        <f t="shared" si="13"/>
        <v>MacGuffin</v>
      </c>
      <c r="AA23" s="75" t="e">
        <f t="shared" si="14"/>
        <v>#REF!</v>
      </c>
      <c r="AC23" s="65" t="str">
        <f t="shared" si="15"/>
        <v>MacGuffin</v>
      </c>
      <c r="AD23" s="75" t="e">
        <f t="shared" si="9"/>
        <v>#REF!</v>
      </c>
    </row>
    <row r="24" spans="2:30" ht="22" customHeight="1" x14ac:dyDescent="0.2">
      <c r="B24" s="3" t="str">
        <f>'2026 Applebee Finish Summary'!I12</f>
        <v>Mirabelle</v>
      </c>
      <c r="C24" s="433">
        <f>'Race #2'!I11</f>
        <v>244.63132491716539</v>
      </c>
      <c r="E24" s="41" t="e">
        <f t="shared" si="0"/>
        <v>#REF!</v>
      </c>
      <c r="F24" s="41" t="e">
        <f t="shared" si="0"/>
        <v>#REF!</v>
      </c>
      <c r="G24" s="41" t="e">
        <f t="shared" si="0"/>
        <v>#REF!</v>
      </c>
      <c r="H24" s="41" t="e">
        <f t="shared" si="0"/>
        <v>#REF!</v>
      </c>
      <c r="I24" s="41" t="e">
        <f t="shared" si="0"/>
        <v>#REF!</v>
      </c>
      <c r="K24" s="45" t="e">
        <f t="shared" si="1"/>
        <v>#REF!</v>
      </c>
      <c r="L24" s="45" t="e">
        <f t="shared" si="2"/>
        <v>#REF!</v>
      </c>
      <c r="M24" s="45" t="e">
        <f t="shared" si="3"/>
        <v>#REF!</v>
      </c>
      <c r="N24" s="45" t="e">
        <f t="shared" si="4"/>
        <v>#REF!</v>
      </c>
      <c r="O24" s="45" t="e">
        <f t="shared" si="5"/>
        <v>#REF!</v>
      </c>
      <c r="Q24" s="65" t="str">
        <f t="shared" si="6"/>
        <v>Mirabelle</v>
      </c>
      <c r="R24" s="75" t="e">
        <f t="shared" si="10"/>
        <v>#REF!</v>
      </c>
      <c r="T24" s="65" t="str">
        <f t="shared" si="7"/>
        <v>Mirabelle</v>
      </c>
      <c r="U24" s="75" t="e">
        <f t="shared" si="11"/>
        <v>#REF!</v>
      </c>
      <c r="W24" s="65" t="str">
        <f t="shared" si="12"/>
        <v>Mirabelle</v>
      </c>
      <c r="X24" s="75" t="e">
        <f t="shared" si="8"/>
        <v>#REF!</v>
      </c>
      <c r="Z24" s="65" t="str">
        <f t="shared" si="13"/>
        <v>Mirabelle</v>
      </c>
      <c r="AA24" s="75" t="e">
        <f t="shared" si="14"/>
        <v>#REF!</v>
      </c>
      <c r="AC24" s="65" t="str">
        <f t="shared" si="15"/>
        <v>Mirabelle</v>
      </c>
      <c r="AD24" s="75" t="e">
        <f t="shared" si="9"/>
        <v>#REF!</v>
      </c>
    </row>
    <row r="25" spans="2:30" ht="22" customHeight="1" x14ac:dyDescent="0.2">
      <c r="B25" s="3" t="str">
        <f>'2026 Applebee Finish Summary'!I13</f>
        <v>Outrageous</v>
      </c>
      <c r="C25" s="433">
        <f>'Race #2'!I12</f>
        <v>255.0180512261407</v>
      </c>
      <c r="E25" s="41" t="e">
        <f t="shared" si="0"/>
        <v>#REF!</v>
      </c>
      <c r="F25" s="41" t="e">
        <f t="shared" si="0"/>
        <v>#REF!</v>
      </c>
      <c r="G25" s="41" t="e">
        <f t="shared" si="0"/>
        <v>#REF!</v>
      </c>
      <c r="H25" s="41" t="e">
        <f t="shared" si="0"/>
        <v>#REF!</v>
      </c>
      <c r="I25" s="41" t="e">
        <f t="shared" si="0"/>
        <v>#REF!</v>
      </c>
      <c r="K25" s="45" t="e">
        <f t="shared" si="1"/>
        <v>#REF!</v>
      </c>
      <c r="L25" s="45" t="e">
        <f t="shared" si="2"/>
        <v>#REF!</v>
      </c>
      <c r="M25" s="45" t="e">
        <f t="shared" si="3"/>
        <v>#REF!</v>
      </c>
      <c r="N25" s="45" t="e">
        <f t="shared" si="4"/>
        <v>#REF!</v>
      </c>
      <c r="O25" s="45" t="e">
        <f t="shared" si="5"/>
        <v>#REF!</v>
      </c>
      <c r="Q25" s="65" t="str">
        <f t="shared" si="6"/>
        <v>Outrageous</v>
      </c>
      <c r="R25" s="75" t="e">
        <f t="shared" si="10"/>
        <v>#REF!</v>
      </c>
      <c r="T25" s="65" t="str">
        <f t="shared" si="7"/>
        <v>Outrageous</v>
      </c>
      <c r="U25" s="75" t="e">
        <f t="shared" si="11"/>
        <v>#REF!</v>
      </c>
      <c r="W25" s="65" t="str">
        <f t="shared" si="12"/>
        <v>Outrageous</v>
      </c>
      <c r="X25" s="75" t="e">
        <f t="shared" si="8"/>
        <v>#REF!</v>
      </c>
      <c r="Z25" s="65" t="str">
        <f t="shared" si="13"/>
        <v>Outrageous</v>
      </c>
      <c r="AA25" s="75" t="e">
        <f t="shared" si="14"/>
        <v>#REF!</v>
      </c>
      <c r="AC25" s="65" t="str">
        <f t="shared" si="15"/>
        <v>Outrageous</v>
      </c>
      <c r="AD25" s="75" t="e">
        <f t="shared" si="9"/>
        <v>#REF!</v>
      </c>
    </row>
    <row r="26" spans="2:30" ht="22" customHeight="1" x14ac:dyDescent="0.2">
      <c r="B26" s="3" t="str">
        <f>'2026 Applebee Finish Summary'!I14</f>
        <v>Paradox</v>
      </c>
      <c r="C26" s="433">
        <f>'Race #2'!I13</f>
        <v>113.2874601593268</v>
      </c>
      <c r="E26" s="41" t="e">
        <f t="shared" si="0"/>
        <v>#REF!</v>
      </c>
      <c r="F26" s="41" t="e">
        <f t="shared" si="0"/>
        <v>#REF!</v>
      </c>
      <c r="G26" s="41" t="e">
        <f t="shared" si="0"/>
        <v>#REF!</v>
      </c>
      <c r="H26" s="41" t="e">
        <f t="shared" si="0"/>
        <v>#REF!</v>
      </c>
      <c r="I26" s="41" t="e">
        <f t="shared" si="0"/>
        <v>#REF!</v>
      </c>
      <c r="K26" s="45" t="e">
        <f t="shared" si="1"/>
        <v>#REF!</v>
      </c>
      <c r="L26" s="45" t="e">
        <f t="shared" si="2"/>
        <v>#REF!</v>
      </c>
      <c r="M26" s="45" t="e">
        <f t="shared" si="3"/>
        <v>#REF!</v>
      </c>
      <c r="N26" s="45" t="e">
        <f t="shared" si="4"/>
        <v>#REF!</v>
      </c>
      <c r="O26" s="45" t="e">
        <f t="shared" si="5"/>
        <v>#REF!</v>
      </c>
      <c r="Q26" s="65" t="str">
        <f t="shared" si="6"/>
        <v>Paradox</v>
      </c>
      <c r="R26" s="75" t="e">
        <f t="shared" si="10"/>
        <v>#REF!</v>
      </c>
      <c r="T26" s="65" t="str">
        <f t="shared" si="7"/>
        <v>Paradox</v>
      </c>
      <c r="U26" s="75" t="e">
        <f t="shared" si="11"/>
        <v>#REF!</v>
      </c>
      <c r="W26" s="65" t="str">
        <f t="shared" si="12"/>
        <v>Paradox</v>
      </c>
      <c r="X26" s="75" t="e">
        <f t="shared" si="8"/>
        <v>#REF!</v>
      </c>
      <c r="Z26" s="65" t="str">
        <f t="shared" si="13"/>
        <v>Paradox</v>
      </c>
      <c r="AA26" s="75" t="e">
        <f t="shared" si="14"/>
        <v>#REF!</v>
      </c>
      <c r="AC26" s="65" t="str">
        <f t="shared" si="15"/>
        <v>Paradox</v>
      </c>
      <c r="AD26" s="75" t="e">
        <f t="shared" si="9"/>
        <v>#REF!</v>
      </c>
    </row>
    <row r="27" spans="2:30" ht="22" customHeight="1" x14ac:dyDescent="0.2">
      <c r="B27" s="3" t="str">
        <f>'2026 Applebee Finish Summary'!I15</f>
        <v>Pegasus</v>
      </c>
      <c r="C27" s="433">
        <f>'Race #2'!I14</f>
        <v>146.67969019901307</v>
      </c>
      <c r="E27" s="41" t="e">
        <f t="shared" si="0"/>
        <v>#REF!</v>
      </c>
      <c r="F27" s="41" t="e">
        <f t="shared" si="0"/>
        <v>#REF!</v>
      </c>
      <c r="G27" s="41" t="e">
        <f t="shared" si="0"/>
        <v>#REF!</v>
      </c>
      <c r="H27" s="41" t="e">
        <f t="shared" si="0"/>
        <v>#REF!</v>
      </c>
      <c r="I27" s="41" t="e">
        <f t="shared" si="0"/>
        <v>#REF!</v>
      </c>
      <c r="K27" s="45" t="e">
        <f t="shared" si="1"/>
        <v>#REF!</v>
      </c>
      <c r="L27" s="45" t="e">
        <f t="shared" si="2"/>
        <v>#REF!</v>
      </c>
      <c r="M27" s="45" t="e">
        <f t="shared" si="3"/>
        <v>#REF!</v>
      </c>
      <c r="N27" s="45" t="e">
        <f t="shared" si="4"/>
        <v>#REF!</v>
      </c>
      <c r="O27" s="45" t="e">
        <f t="shared" si="5"/>
        <v>#REF!</v>
      </c>
      <c r="Q27" s="65" t="str">
        <f t="shared" si="6"/>
        <v>Pegasus</v>
      </c>
      <c r="R27" s="75" t="e">
        <f t="shared" si="10"/>
        <v>#REF!</v>
      </c>
      <c r="T27" s="65" t="str">
        <f t="shared" si="7"/>
        <v>Pegasus</v>
      </c>
      <c r="U27" s="75" t="e">
        <f t="shared" si="11"/>
        <v>#REF!</v>
      </c>
      <c r="W27" s="65" t="str">
        <f t="shared" si="12"/>
        <v>Pegasus</v>
      </c>
      <c r="X27" s="75" t="e">
        <f t="shared" si="8"/>
        <v>#REF!</v>
      </c>
      <c r="Z27" s="65" t="str">
        <f t="shared" si="13"/>
        <v>Pegasus</v>
      </c>
      <c r="AA27" s="75" t="e">
        <f t="shared" si="14"/>
        <v>#REF!</v>
      </c>
      <c r="AC27" s="65" t="str">
        <f t="shared" si="15"/>
        <v>Pegasus</v>
      </c>
      <c r="AD27" s="75" t="e">
        <f t="shared" si="9"/>
        <v>#REF!</v>
      </c>
    </row>
    <row r="28" spans="2:30" ht="22" customHeight="1" x14ac:dyDescent="0.2">
      <c r="B28" s="3" t="e">
        <f>'2026 Applebee Finish Summary'!#REF!</f>
        <v>#REF!</v>
      </c>
      <c r="C28" s="433" t="e">
        <f>'Race #2'!#REF!</f>
        <v>#REF!</v>
      </c>
      <c r="E28" s="41" t="e">
        <f t="shared" si="0"/>
        <v>#REF!</v>
      </c>
      <c r="F28" s="41" t="e">
        <f t="shared" si="0"/>
        <v>#REF!</v>
      </c>
      <c r="G28" s="41" t="e">
        <f t="shared" si="0"/>
        <v>#REF!</v>
      </c>
      <c r="H28" s="41" t="e">
        <f t="shared" si="0"/>
        <v>#REF!</v>
      </c>
      <c r="I28" s="41" t="e">
        <f t="shared" si="0"/>
        <v>#REF!</v>
      </c>
      <c r="K28" s="45" t="e">
        <f t="shared" si="1"/>
        <v>#REF!</v>
      </c>
      <c r="L28" s="45" t="e">
        <f t="shared" si="2"/>
        <v>#REF!</v>
      </c>
      <c r="M28" s="45" t="e">
        <f t="shared" si="3"/>
        <v>#REF!</v>
      </c>
      <c r="N28" s="45" t="e">
        <f t="shared" si="4"/>
        <v>#REF!</v>
      </c>
      <c r="O28" s="45" t="e">
        <f t="shared" si="5"/>
        <v>#REF!</v>
      </c>
      <c r="Q28" s="134" t="e">
        <f t="shared" si="6"/>
        <v>#REF!</v>
      </c>
      <c r="R28" s="135" t="e">
        <f t="shared" si="10"/>
        <v>#REF!</v>
      </c>
      <c r="T28" s="134" t="e">
        <f t="shared" si="7"/>
        <v>#REF!</v>
      </c>
      <c r="U28" s="135" t="e">
        <f t="shared" si="11"/>
        <v>#REF!</v>
      </c>
      <c r="W28" s="134" t="e">
        <f t="shared" si="12"/>
        <v>#REF!</v>
      </c>
      <c r="X28" s="135" t="e">
        <f t="shared" si="8"/>
        <v>#REF!</v>
      </c>
      <c r="Z28" s="134" t="e">
        <f t="shared" si="13"/>
        <v>#REF!</v>
      </c>
      <c r="AA28" s="135" t="e">
        <f t="shared" si="14"/>
        <v>#REF!</v>
      </c>
      <c r="AC28" s="134" t="e">
        <f t="shared" si="15"/>
        <v>#REF!</v>
      </c>
      <c r="AD28" s="135" t="e">
        <f t="shared" si="9"/>
        <v>#REF!</v>
      </c>
    </row>
    <row r="29" spans="2:30" ht="22" customHeight="1" x14ac:dyDescent="0.2">
      <c r="B29" s="3" t="str">
        <f>'2026 Applebee Finish Summary'!I16</f>
        <v>Triton</v>
      </c>
      <c r="C29" s="433">
        <f>'Race #2'!I15</f>
        <v>212.4</v>
      </c>
      <c r="E29" s="41" t="e">
        <f t="shared" si="0"/>
        <v>#REF!</v>
      </c>
      <c r="F29" s="41" t="e">
        <f t="shared" si="0"/>
        <v>#REF!</v>
      </c>
      <c r="G29" s="41" t="e">
        <f t="shared" si="0"/>
        <v>#REF!</v>
      </c>
      <c r="H29" s="41" t="e">
        <f t="shared" si="0"/>
        <v>#REF!</v>
      </c>
      <c r="I29" s="41" t="e">
        <f t="shared" si="0"/>
        <v>#REF!</v>
      </c>
      <c r="K29" s="45" t="e">
        <f>$R$32-E29</f>
        <v>#REF!</v>
      </c>
      <c r="L29" s="45" t="e">
        <f>$R$32-F29</f>
        <v>#REF!</v>
      </c>
      <c r="M29" s="45" t="e">
        <f t="shared" si="3"/>
        <v>#REF!</v>
      </c>
      <c r="N29" s="45" t="e">
        <f t="shared" si="4"/>
        <v>#REF!</v>
      </c>
      <c r="O29" s="45" t="e">
        <f>$R$32-I29</f>
        <v>#REF!</v>
      </c>
      <c r="Q29" s="65" t="str">
        <f>B29</f>
        <v>Triton</v>
      </c>
      <c r="R29" s="75" t="e">
        <f t="shared" si="10"/>
        <v>#REF!</v>
      </c>
      <c r="T29" s="65" t="str">
        <f>B29</f>
        <v>Triton</v>
      </c>
      <c r="U29" s="75" t="e">
        <f t="shared" si="11"/>
        <v>#REF!</v>
      </c>
      <c r="W29" s="65" t="str">
        <f t="shared" si="12"/>
        <v>Triton</v>
      </c>
      <c r="X29" s="75" t="e">
        <f t="shared" si="8"/>
        <v>#REF!</v>
      </c>
      <c r="Z29" s="65" t="str">
        <f t="shared" si="13"/>
        <v>Triton</v>
      </c>
      <c r="AA29" s="75" t="e">
        <f t="shared" si="14"/>
        <v>#REF!</v>
      </c>
      <c r="AC29" s="65" t="str">
        <f t="shared" si="15"/>
        <v>Triton</v>
      </c>
      <c r="AD29" s="75" t="e">
        <f t="shared" si="9"/>
        <v>#REF!</v>
      </c>
    </row>
    <row r="30" spans="2:30" ht="22" customHeight="1" thickBot="1" x14ac:dyDescent="0.25">
      <c r="B30" s="3" t="str">
        <f>'2026 Applebee Finish Summary'!I17</f>
        <v>Lone Gull</v>
      </c>
      <c r="C30" s="433">
        <f>'Race #2'!I16</f>
        <v>288.53126317363109</v>
      </c>
      <c r="E30" s="41" t="e">
        <f t="shared" si="0"/>
        <v>#REF!</v>
      </c>
      <c r="F30" s="41" t="e">
        <f t="shared" si="0"/>
        <v>#REF!</v>
      </c>
      <c r="G30" s="41" t="e">
        <f t="shared" si="0"/>
        <v>#REF!</v>
      </c>
      <c r="H30" s="41" t="e">
        <f t="shared" si="0"/>
        <v>#REF!</v>
      </c>
      <c r="I30" s="41" t="e">
        <f t="shared" si="0"/>
        <v>#REF!</v>
      </c>
      <c r="K30" s="45" t="e">
        <f>$R$32-E30</f>
        <v>#REF!</v>
      </c>
      <c r="L30" s="45" t="e">
        <f>$R$32-F30</f>
        <v>#REF!</v>
      </c>
      <c r="M30" s="45" t="e">
        <f t="shared" si="3"/>
        <v>#REF!</v>
      </c>
      <c r="N30" s="45" t="e">
        <f t="shared" si="4"/>
        <v>#REF!</v>
      </c>
      <c r="O30" s="45" t="e">
        <f>$R$32-I30</f>
        <v>#REF!</v>
      </c>
      <c r="Q30" s="431" t="str">
        <f>B30</f>
        <v>Lone Gull</v>
      </c>
      <c r="R30" s="432" t="e">
        <f t="shared" si="10"/>
        <v>#REF!</v>
      </c>
      <c r="T30" s="431" t="str">
        <f>B30</f>
        <v>Lone Gull</v>
      </c>
      <c r="U30" s="432" t="e">
        <f t="shared" si="11"/>
        <v>#REF!</v>
      </c>
      <c r="W30" s="431" t="str">
        <f t="shared" si="12"/>
        <v>Lone Gull</v>
      </c>
      <c r="X30" s="432" t="e">
        <f t="shared" si="8"/>
        <v>#REF!</v>
      </c>
      <c r="Z30" s="431" t="str">
        <f t="shared" si="13"/>
        <v>Lone Gull</v>
      </c>
      <c r="AA30" s="432" t="e">
        <f t="shared" si="14"/>
        <v>#REF!</v>
      </c>
      <c r="AC30" s="431" t="str">
        <f t="shared" si="15"/>
        <v>Lone Gull</v>
      </c>
      <c r="AD30" s="432" t="e">
        <f t="shared" si="9"/>
        <v>#REF!</v>
      </c>
    </row>
    <row r="31" spans="2:30" x14ac:dyDescent="0.2">
      <c r="C31" s="4"/>
      <c r="K31" s="42"/>
      <c r="L31" s="44"/>
      <c r="O31" s="42"/>
    </row>
    <row r="32" spans="2:30" x14ac:dyDescent="0.2">
      <c r="K32" s="42"/>
      <c r="L32" s="44"/>
      <c r="Q32" s="33" t="s">
        <v>184</v>
      </c>
      <c r="R32" s="68">
        <v>0.54166666666666663</v>
      </c>
    </row>
    <row r="33" spans="5:18" x14ac:dyDescent="0.2">
      <c r="L33" s="44"/>
      <c r="Q33" s="63"/>
      <c r="R33" s="216"/>
    </row>
    <row r="34" spans="5:18" x14ac:dyDescent="0.2">
      <c r="K34" s="42"/>
    </row>
    <row r="35" spans="5:18" x14ac:dyDescent="0.2">
      <c r="G35" s="3"/>
      <c r="H35" s="3"/>
      <c r="M35" s="3"/>
      <c r="N35" s="3"/>
    </row>
    <row r="36" spans="5:18" x14ac:dyDescent="0.2">
      <c r="K36" s="40"/>
    </row>
    <row r="37" spans="5:18" x14ac:dyDescent="0.2">
      <c r="E37" s="3"/>
      <c r="F37" s="3"/>
      <c r="G37" s="3"/>
      <c r="H37" s="3"/>
      <c r="I37" s="42"/>
      <c r="K37" s="3"/>
      <c r="L37" s="3"/>
      <c r="M37" s="3"/>
      <c r="N37" s="3"/>
    </row>
    <row r="38" spans="5:18" x14ac:dyDescent="0.2">
      <c r="G38" s="90"/>
      <c r="H38" s="90"/>
      <c r="M38" s="90"/>
      <c r="N38" s="90"/>
    </row>
    <row r="39" spans="5:18" x14ac:dyDescent="0.2">
      <c r="G39" s="90"/>
      <c r="H39" s="90"/>
      <c r="M39" s="90"/>
      <c r="N39" s="90"/>
    </row>
    <row r="40" spans="5:18" x14ac:dyDescent="0.2">
      <c r="G40" s="90"/>
      <c r="H40" s="90"/>
      <c r="M40" s="90"/>
      <c r="N40" s="90"/>
    </row>
    <row r="41" spans="5:18" x14ac:dyDescent="0.2">
      <c r="G41" s="90"/>
      <c r="H41" s="90"/>
      <c r="M41" s="90"/>
      <c r="N41" s="90"/>
    </row>
    <row r="42" spans="5:18" x14ac:dyDescent="0.2">
      <c r="G42" s="90"/>
      <c r="H42" s="90"/>
      <c r="M42" s="90"/>
      <c r="N42" s="90"/>
    </row>
    <row r="43" spans="5:18" x14ac:dyDescent="0.2">
      <c r="G43" s="90"/>
      <c r="H43" s="90"/>
      <c r="M43" s="90"/>
      <c r="N43" s="90"/>
    </row>
  </sheetData>
  <sortState xmlns:xlrd2="http://schemas.microsoft.com/office/spreadsheetml/2017/richdata2" ref="R16:R30">
    <sortCondition ref="R16:R30"/>
  </sortState>
  <mergeCells count="4">
    <mergeCell ref="E12:I12"/>
    <mergeCell ref="K14:L14"/>
    <mergeCell ref="E10:I10"/>
    <mergeCell ref="K10:O10"/>
  </mergeCells>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EAD9D-8662-4643-AD2C-F4E256FAFBB3}">
  <dimension ref="B1:M26"/>
  <sheetViews>
    <sheetView zoomScale="130" zoomScaleNormal="130" workbookViewId="0">
      <selection activeCell="A7" sqref="A7:XFD7"/>
    </sheetView>
  </sheetViews>
  <sheetFormatPr baseColWidth="10" defaultColWidth="8.83203125" defaultRowHeight="15" x14ac:dyDescent="0.2"/>
  <cols>
    <col min="2" max="2" width="17.83203125" customWidth="1"/>
    <col min="4" max="4" width="8.83203125" customWidth="1"/>
    <col min="5" max="9" width="9.6640625" customWidth="1"/>
    <col min="10" max="10" width="8.83203125" customWidth="1"/>
    <col min="11" max="11" width="12.83203125" customWidth="1"/>
    <col min="12" max="12" width="9.83203125" customWidth="1"/>
    <col min="13" max="13" width="12.83203125" customWidth="1"/>
  </cols>
  <sheetData>
    <row r="1" spans="2:13" x14ac:dyDescent="0.2">
      <c r="E1" s="534" t="s">
        <v>201</v>
      </c>
      <c r="F1" s="534"/>
      <c r="G1" s="534"/>
      <c r="H1" s="534"/>
      <c r="I1" s="534"/>
    </row>
    <row r="2" spans="2:13" x14ac:dyDescent="0.2">
      <c r="E2" s="10">
        <v>60</v>
      </c>
      <c r="F2" s="10">
        <v>70</v>
      </c>
      <c r="G2" s="10">
        <v>80</v>
      </c>
      <c r="H2" s="10">
        <v>90</v>
      </c>
      <c r="I2" s="10">
        <v>100</v>
      </c>
      <c r="K2" s="1" t="s">
        <v>202</v>
      </c>
      <c r="M2" s="1" t="s">
        <v>202</v>
      </c>
    </row>
    <row r="3" spans="2:13" x14ac:dyDescent="0.2">
      <c r="B3" s="47" t="s">
        <v>181</v>
      </c>
      <c r="C3" s="48" t="s">
        <v>203</v>
      </c>
      <c r="K3" s="1" t="s">
        <v>204</v>
      </c>
      <c r="M3" s="1" t="s">
        <v>205</v>
      </c>
    </row>
    <row r="4" spans="2:13" x14ac:dyDescent="0.2">
      <c r="B4" s="3"/>
      <c r="K4" s="1"/>
    </row>
    <row r="5" spans="2:13" x14ac:dyDescent="0.2">
      <c r="B5" s="3" t="str">
        <f>'2026 Applebee Finish Summary'!I5</f>
        <v>Estella</v>
      </c>
      <c r="C5" s="40">
        <f>'Race #1'!I4</f>
        <v>110</v>
      </c>
      <c r="E5" s="41" t="e">
        <f t="shared" ref="E5:I18" si="0">((60*E$2)*($C5-MIN($C$5:$C$18))/(550+$C$5)/(60*60*24))</f>
        <v>#REF!</v>
      </c>
      <c r="F5" s="41" t="e">
        <f t="shared" si="0"/>
        <v>#REF!</v>
      </c>
      <c r="G5" s="41" t="e">
        <f t="shared" si="0"/>
        <v>#REF!</v>
      </c>
      <c r="H5" s="41" t="e">
        <f t="shared" si="0"/>
        <v>#REF!</v>
      </c>
      <c r="I5" s="41" t="e">
        <f t="shared" si="0"/>
        <v>#REF!</v>
      </c>
      <c r="K5" s="229" t="e">
        <f t="shared" ref="K5:K18" si="1">$K$21-E5</f>
        <v>#REF!</v>
      </c>
      <c r="L5" s="42"/>
      <c r="M5" s="229" t="e">
        <f t="shared" ref="M5:M18" si="2">$K$21-I5</f>
        <v>#REF!</v>
      </c>
    </row>
    <row r="6" spans="2:13" x14ac:dyDescent="0.2">
      <c r="B6" s="3" t="str">
        <f>'2026 Applebee Finish Summary'!I6</f>
        <v>Exit Strategy</v>
      </c>
      <c r="C6" s="40">
        <f>'Race #1'!I5</f>
        <v>96.5</v>
      </c>
      <c r="E6" s="41" t="e">
        <f t="shared" si="0"/>
        <v>#REF!</v>
      </c>
      <c r="F6" s="41" t="e">
        <f t="shared" si="0"/>
        <v>#REF!</v>
      </c>
      <c r="G6" s="41" t="e">
        <f t="shared" si="0"/>
        <v>#REF!</v>
      </c>
      <c r="H6" s="41" t="e">
        <f t="shared" si="0"/>
        <v>#REF!</v>
      </c>
      <c r="I6" s="41" t="e">
        <f t="shared" si="0"/>
        <v>#REF!</v>
      </c>
      <c r="K6" s="230" t="e">
        <f t="shared" si="1"/>
        <v>#REF!</v>
      </c>
      <c r="M6" s="230" t="e">
        <f t="shared" si="2"/>
        <v>#REF!</v>
      </c>
    </row>
    <row r="7" spans="2:13" x14ac:dyDescent="0.2">
      <c r="B7" s="3"/>
      <c r="C7" s="40"/>
      <c r="E7" s="41"/>
      <c r="F7" s="41"/>
      <c r="G7" s="41"/>
      <c r="H7" s="41"/>
      <c r="I7" s="41"/>
      <c r="K7" s="230"/>
      <c r="M7" s="230"/>
    </row>
    <row r="8" spans="2:13" x14ac:dyDescent="0.2">
      <c r="B8" s="3" t="str">
        <f>'2026 Applebee Finish Summary'!I7</f>
        <v>Magoo</v>
      </c>
      <c r="C8" s="40">
        <f>'Race #1'!I6</f>
        <v>210</v>
      </c>
      <c r="E8" s="41" t="e">
        <f t="shared" si="0"/>
        <v>#REF!</v>
      </c>
      <c r="F8" s="41" t="e">
        <f t="shared" si="0"/>
        <v>#REF!</v>
      </c>
      <c r="G8" s="41" t="e">
        <f t="shared" si="0"/>
        <v>#REF!</v>
      </c>
      <c r="H8" s="41" t="e">
        <f t="shared" si="0"/>
        <v>#REF!</v>
      </c>
      <c r="I8" s="41" t="e">
        <f t="shared" si="0"/>
        <v>#REF!</v>
      </c>
      <c r="K8" s="230" t="e">
        <f t="shared" si="1"/>
        <v>#REF!</v>
      </c>
      <c r="M8" s="230" t="e">
        <f t="shared" si="2"/>
        <v>#REF!</v>
      </c>
    </row>
    <row r="9" spans="2:13" x14ac:dyDescent="0.2">
      <c r="B9" s="3" t="str">
        <f>'2026 Applebee Finish Summary'!I8</f>
        <v>Feng Shui</v>
      </c>
      <c r="C9" s="40">
        <f>'Race #1'!I7</f>
        <v>188.1227776756605</v>
      </c>
      <c r="E9" s="41" t="e">
        <f t="shared" si="0"/>
        <v>#REF!</v>
      </c>
      <c r="F9" s="41" t="e">
        <f t="shared" si="0"/>
        <v>#REF!</v>
      </c>
      <c r="G9" s="41" t="e">
        <f t="shared" si="0"/>
        <v>#REF!</v>
      </c>
      <c r="H9" s="41" t="e">
        <f t="shared" si="0"/>
        <v>#REF!</v>
      </c>
      <c r="I9" s="41" t="e">
        <f t="shared" si="0"/>
        <v>#REF!</v>
      </c>
      <c r="K9" s="230" t="e">
        <f t="shared" si="1"/>
        <v>#REF!</v>
      </c>
      <c r="M9" s="230" t="e">
        <f t="shared" si="2"/>
        <v>#REF!</v>
      </c>
    </row>
    <row r="10" spans="2:13" x14ac:dyDescent="0.2">
      <c r="B10" s="3" t="str">
        <f>'2026 Applebee Finish Summary'!I9</f>
        <v>Grin</v>
      </c>
      <c r="C10" s="40">
        <f>'Race #1'!I8</f>
        <v>205.37762972886682</v>
      </c>
      <c r="E10" s="41" t="e">
        <f t="shared" si="0"/>
        <v>#REF!</v>
      </c>
      <c r="F10" s="41" t="e">
        <f t="shared" si="0"/>
        <v>#REF!</v>
      </c>
      <c r="G10" s="41" t="e">
        <f t="shared" si="0"/>
        <v>#REF!</v>
      </c>
      <c r="H10" s="41" t="e">
        <f t="shared" si="0"/>
        <v>#REF!</v>
      </c>
      <c r="I10" s="41" t="e">
        <f t="shared" si="0"/>
        <v>#REF!</v>
      </c>
      <c r="K10" s="230" t="e">
        <f t="shared" si="1"/>
        <v>#REF!</v>
      </c>
      <c r="M10" s="230" t="e">
        <f t="shared" si="2"/>
        <v>#REF!</v>
      </c>
    </row>
    <row r="11" spans="2:13" x14ac:dyDescent="0.2">
      <c r="B11" s="3" t="str">
        <f>'2026 Applebee Finish Summary'!I10</f>
        <v>Kristin B II</v>
      </c>
      <c r="C11" s="40">
        <f>'Race #1'!I9</f>
        <v>189.37685101517241</v>
      </c>
      <c r="E11" s="41" t="e">
        <f t="shared" si="0"/>
        <v>#REF!</v>
      </c>
      <c r="F11" s="41" t="e">
        <f t="shared" si="0"/>
        <v>#REF!</v>
      </c>
      <c r="G11" s="41" t="e">
        <f t="shared" si="0"/>
        <v>#REF!</v>
      </c>
      <c r="H11" s="41" t="e">
        <f t="shared" si="0"/>
        <v>#REF!</v>
      </c>
      <c r="I11" s="41" t="e">
        <f t="shared" si="0"/>
        <v>#REF!</v>
      </c>
      <c r="K11" s="230" t="e">
        <f t="shared" si="1"/>
        <v>#REF!</v>
      </c>
      <c r="M11" s="230" t="e">
        <f t="shared" si="2"/>
        <v>#REF!</v>
      </c>
    </row>
    <row r="12" spans="2:13" x14ac:dyDescent="0.2">
      <c r="B12" s="3" t="str">
        <f>'2026 Applebee Finish Summary'!I11</f>
        <v>MacGuffin</v>
      </c>
      <c r="C12" s="40">
        <f>'Race #1'!I10</f>
        <v>204</v>
      </c>
      <c r="E12" s="41" t="e">
        <f t="shared" si="0"/>
        <v>#REF!</v>
      </c>
      <c r="F12" s="41" t="e">
        <f t="shared" si="0"/>
        <v>#REF!</v>
      </c>
      <c r="G12" s="41" t="e">
        <f t="shared" si="0"/>
        <v>#REF!</v>
      </c>
      <c r="H12" s="41" t="e">
        <f t="shared" si="0"/>
        <v>#REF!</v>
      </c>
      <c r="I12" s="41" t="e">
        <f t="shared" si="0"/>
        <v>#REF!</v>
      </c>
      <c r="K12" s="230" t="e">
        <f t="shared" si="1"/>
        <v>#REF!</v>
      </c>
      <c r="M12" s="230" t="e">
        <f t="shared" si="2"/>
        <v>#REF!</v>
      </c>
    </row>
    <row r="13" spans="2:13" x14ac:dyDescent="0.2">
      <c r="B13" s="3" t="str">
        <f>'2026 Applebee Finish Summary'!I12</f>
        <v>Mirabelle</v>
      </c>
      <c r="C13" s="40">
        <f>'Race #1'!I11</f>
        <v>244.63132491716539</v>
      </c>
      <c r="E13" s="41" t="e">
        <f t="shared" si="0"/>
        <v>#REF!</v>
      </c>
      <c r="F13" s="41" t="e">
        <f t="shared" si="0"/>
        <v>#REF!</v>
      </c>
      <c r="G13" s="41" t="e">
        <f t="shared" si="0"/>
        <v>#REF!</v>
      </c>
      <c r="H13" s="41" t="e">
        <f t="shared" si="0"/>
        <v>#REF!</v>
      </c>
      <c r="I13" s="41" t="e">
        <f t="shared" si="0"/>
        <v>#REF!</v>
      </c>
      <c r="K13" s="230" t="e">
        <f t="shared" si="1"/>
        <v>#REF!</v>
      </c>
      <c r="M13" s="230" t="e">
        <f t="shared" si="2"/>
        <v>#REF!</v>
      </c>
    </row>
    <row r="14" spans="2:13" x14ac:dyDescent="0.2">
      <c r="B14" s="3" t="str">
        <f>'2026 Applebee Finish Summary'!I13</f>
        <v>Outrageous</v>
      </c>
      <c r="C14" s="40">
        <f>'Race #1'!I12</f>
        <v>255.17561647534984</v>
      </c>
      <c r="E14" s="41" t="e">
        <f t="shared" si="0"/>
        <v>#REF!</v>
      </c>
      <c r="F14" s="41" t="e">
        <f t="shared" si="0"/>
        <v>#REF!</v>
      </c>
      <c r="G14" s="41" t="e">
        <f t="shared" si="0"/>
        <v>#REF!</v>
      </c>
      <c r="H14" s="41" t="e">
        <f t="shared" si="0"/>
        <v>#REF!</v>
      </c>
      <c r="I14" s="41" t="e">
        <f t="shared" si="0"/>
        <v>#REF!</v>
      </c>
      <c r="K14" s="230" t="e">
        <f t="shared" si="1"/>
        <v>#REF!</v>
      </c>
      <c r="M14" s="230" t="e">
        <f t="shared" si="2"/>
        <v>#REF!</v>
      </c>
    </row>
    <row r="15" spans="2:13" x14ac:dyDescent="0.2">
      <c r="B15" s="3" t="str">
        <f>'2026 Applebee Finish Summary'!I14</f>
        <v>Paradox</v>
      </c>
      <c r="C15" s="40">
        <f>'Race #1'!I13</f>
        <v>113.2874601593268</v>
      </c>
      <c r="E15" s="41" t="e">
        <f t="shared" si="0"/>
        <v>#REF!</v>
      </c>
      <c r="F15" s="41" t="e">
        <f t="shared" si="0"/>
        <v>#REF!</v>
      </c>
      <c r="G15" s="41" t="e">
        <f t="shared" si="0"/>
        <v>#REF!</v>
      </c>
      <c r="H15" s="41" t="e">
        <f t="shared" si="0"/>
        <v>#REF!</v>
      </c>
      <c r="I15" s="41" t="e">
        <f t="shared" si="0"/>
        <v>#REF!</v>
      </c>
      <c r="K15" s="230" t="e">
        <f t="shared" si="1"/>
        <v>#REF!</v>
      </c>
      <c r="M15" s="230" t="e">
        <f t="shared" si="2"/>
        <v>#REF!</v>
      </c>
    </row>
    <row r="16" spans="2:13" x14ac:dyDescent="0.2">
      <c r="B16" s="3" t="str">
        <f>'2026 Applebee Finish Summary'!I15</f>
        <v>Pegasus</v>
      </c>
      <c r="C16" s="40">
        <f>'Race #1'!I14</f>
        <v>146.67969019901307</v>
      </c>
      <c r="E16" s="41" t="e">
        <f t="shared" si="0"/>
        <v>#REF!</v>
      </c>
      <c r="F16" s="41" t="e">
        <f t="shared" si="0"/>
        <v>#REF!</v>
      </c>
      <c r="G16" s="41" t="e">
        <f t="shared" si="0"/>
        <v>#REF!</v>
      </c>
      <c r="H16" s="41" t="e">
        <f t="shared" si="0"/>
        <v>#REF!</v>
      </c>
      <c r="I16" s="41" t="e">
        <f t="shared" si="0"/>
        <v>#REF!</v>
      </c>
      <c r="K16" s="230" t="e">
        <f t="shared" si="1"/>
        <v>#REF!</v>
      </c>
      <c r="M16" s="230" t="e">
        <f t="shared" si="2"/>
        <v>#REF!</v>
      </c>
    </row>
    <row r="17" spans="2:13" x14ac:dyDescent="0.2">
      <c r="B17" s="3" t="e">
        <f>'2026 Applebee Finish Summary'!#REF!</f>
        <v>#REF!</v>
      </c>
      <c r="C17" s="40" t="e">
        <f>'Race #1'!#REF!</f>
        <v>#REF!</v>
      </c>
      <c r="E17" s="41" t="e">
        <f t="shared" si="0"/>
        <v>#REF!</v>
      </c>
      <c r="F17" s="41" t="e">
        <f t="shared" si="0"/>
        <v>#REF!</v>
      </c>
      <c r="G17" s="41" t="e">
        <f t="shared" si="0"/>
        <v>#REF!</v>
      </c>
      <c r="H17" s="41" t="e">
        <f t="shared" si="0"/>
        <v>#REF!</v>
      </c>
      <c r="I17" s="41" t="e">
        <f t="shared" si="0"/>
        <v>#REF!</v>
      </c>
      <c r="K17" s="230" t="e">
        <f t="shared" si="1"/>
        <v>#REF!</v>
      </c>
      <c r="M17" s="230" t="e">
        <f t="shared" si="2"/>
        <v>#REF!</v>
      </c>
    </row>
    <row r="18" spans="2:13" x14ac:dyDescent="0.2">
      <c r="B18" s="3" t="str">
        <f>'2026 Applebee Finish Summary'!I16</f>
        <v>Triton</v>
      </c>
      <c r="C18" s="40">
        <f>'Race #1'!I15</f>
        <v>212.4</v>
      </c>
      <c r="E18" s="41" t="e">
        <f t="shared" si="0"/>
        <v>#REF!</v>
      </c>
      <c r="F18" s="41" t="e">
        <f t="shared" si="0"/>
        <v>#REF!</v>
      </c>
      <c r="G18" s="41" t="e">
        <f t="shared" si="0"/>
        <v>#REF!</v>
      </c>
      <c r="H18" s="41" t="e">
        <f t="shared" si="0"/>
        <v>#REF!</v>
      </c>
      <c r="I18" s="41" t="e">
        <f t="shared" si="0"/>
        <v>#REF!</v>
      </c>
      <c r="K18" s="231" t="e">
        <f t="shared" si="1"/>
        <v>#REF!</v>
      </c>
      <c r="M18" s="231" t="e">
        <f t="shared" si="2"/>
        <v>#REF!</v>
      </c>
    </row>
    <row r="19" spans="2:13" x14ac:dyDescent="0.2">
      <c r="C19" s="4"/>
      <c r="K19" s="42"/>
      <c r="M19" s="42"/>
    </row>
    <row r="20" spans="2:13" x14ac:dyDescent="0.2">
      <c r="K20" s="42"/>
      <c r="M20" s="42"/>
    </row>
    <row r="21" spans="2:13" x14ac:dyDescent="0.2">
      <c r="J21" s="33" t="s">
        <v>206</v>
      </c>
      <c r="K21" s="63">
        <v>0.54166666666666663</v>
      </c>
      <c r="M21" s="57"/>
    </row>
    <row r="22" spans="2:13" x14ac:dyDescent="0.2">
      <c r="K22" s="42"/>
      <c r="M22" s="1"/>
    </row>
    <row r="24" spans="2:13" x14ac:dyDescent="0.2">
      <c r="K24" s="40"/>
    </row>
    <row r="25" spans="2:13" x14ac:dyDescent="0.2">
      <c r="H25" s="42"/>
    </row>
    <row r="26" spans="2:13" x14ac:dyDescent="0.2">
      <c r="K26" s="40"/>
    </row>
  </sheetData>
  <sortState xmlns:xlrd2="http://schemas.microsoft.com/office/spreadsheetml/2017/richdata2" ref="B5:M18">
    <sortCondition ref="C5:C18"/>
  </sortState>
  <mergeCells count="1">
    <mergeCell ref="E1:I1"/>
  </mergeCells>
  <pageMargins left="0.7" right="0.7" top="0.75" bottom="0.75" header="0.3" footer="0.3"/>
  <pageSetup orientation="portrait" horizontalDpi="0" verticalDpi="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EECD4-01AF-4D3A-9FE5-16E26F71B282}">
  <sheetPr>
    <pageSetUpPr fitToPage="1"/>
  </sheetPr>
  <dimension ref="A1:S43"/>
  <sheetViews>
    <sheetView topLeftCell="A7" zoomScale="130" zoomScaleNormal="130" workbookViewId="0">
      <selection activeCell="H3" sqref="H3"/>
    </sheetView>
  </sheetViews>
  <sheetFormatPr baseColWidth="10" defaultColWidth="8.83203125" defaultRowHeight="15" x14ac:dyDescent="0.2"/>
  <cols>
    <col min="2" max="2" width="16.83203125" customWidth="1"/>
    <col min="3" max="3" width="10.6640625" customWidth="1"/>
    <col min="4" max="4" width="12.83203125" customWidth="1"/>
    <col min="5" max="21" width="10.6640625" customWidth="1"/>
  </cols>
  <sheetData>
    <row r="1" spans="2:19" ht="16" thickBot="1" x14ac:dyDescent="0.25">
      <c r="E1" s="535" t="s">
        <v>207</v>
      </c>
      <c r="F1" s="535"/>
      <c r="G1" s="535"/>
      <c r="H1" s="535"/>
      <c r="I1" s="535"/>
      <c r="J1" s="535"/>
      <c r="K1" s="535"/>
      <c r="L1" s="535"/>
      <c r="M1" s="535"/>
      <c r="N1" s="535"/>
      <c r="O1" s="535"/>
      <c r="P1" s="535"/>
      <c r="Q1" s="535"/>
    </row>
    <row r="2" spans="2:19" ht="16" thickBot="1" x14ac:dyDescent="0.25">
      <c r="B2" s="3" t="s">
        <v>208</v>
      </c>
      <c r="D2" s="67" t="s">
        <v>88</v>
      </c>
      <c r="E2" s="53"/>
      <c r="F2" s="53"/>
      <c r="G2" s="53"/>
      <c r="H2" s="53"/>
      <c r="I2" s="53"/>
      <c r="J2" s="53"/>
      <c r="K2" s="53"/>
      <c r="L2" s="53"/>
      <c r="M2" s="53"/>
      <c r="N2" s="53"/>
      <c r="O2" s="53"/>
      <c r="P2" s="53"/>
      <c r="Q2" s="53"/>
    </row>
    <row r="3" spans="2:19" ht="16" thickBot="1" x14ac:dyDescent="0.25">
      <c r="B3" s="3"/>
      <c r="D3" s="1"/>
      <c r="E3" s="53"/>
      <c r="F3" s="53"/>
      <c r="G3" s="53"/>
      <c r="H3" s="53"/>
      <c r="I3" s="53"/>
      <c r="J3" s="53"/>
      <c r="K3" s="53"/>
      <c r="L3" s="53"/>
      <c r="M3" s="53"/>
      <c r="N3" s="53"/>
      <c r="O3" s="53"/>
      <c r="P3" s="53"/>
      <c r="Q3" s="53"/>
    </row>
    <row r="4" spans="2:19" ht="16" thickBot="1" x14ac:dyDescent="0.25">
      <c r="B4" s="538" t="s">
        <v>209</v>
      </c>
      <c r="C4" s="504"/>
      <c r="D4" s="55" t="e">
        <f>VLOOKUP('Interval Calcs - By Boat'!D2,'Race #1'!B4:I17,8,FALSE)</f>
        <v>#N/A</v>
      </c>
      <c r="E4" s="53" t="s">
        <v>210</v>
      </c>
      <c r="F4" s="53"/>
      <c r="G4" s="53"/>
      <c r="H4" s="53"/>
      <c r="I4" s="53"/>
      <c r="J4" s="53"/>
      <c r="K4" s="53"/>
      <c r="L4" s="53"/>
      <c r="M4" s="53"/>
      <c r="N4" s="53"/>
      <c r="O4" s="53"/>
      <c r="P4" s="53"/>
      <c r="Q4" s="53"/>
    </row>
    <row r="5" spans="2:19" ht="16" thickBot="1" x14ac:dyDescent="0.25">
      <c r="E5" s="53"/>
      <c r="F5" s="53"/>
      <c r="G5" s="53"/>
      <c r="H5" s="53"/>
      <c r="I5" s="53"/>
      <c r="J5" s="53"/>
      <c r="K5" s="53"/>
      <c r="L5" s="53"/>
      <c r="M5" s="53"/>
      <c r="N5" s="53"/>
      <c r="O5" s="53"/>
      <c r="P5" s="53"/>
      <c r="Q5" s="53"/>
    </row>
    <row r="6" spans="2:19" x14ac:dyDescent="0.2">
      <c r="E6" s="536" t="s">
        <v>211</v>
      </c>
      <c r="F6" s="537"/>
      <c r="G6" s="537"/>
      <c r="H6" s="537"/>
      <c r="I6" s="537"/>
      <c r="J6" s="537"/>
      <c r="K6" s="537"/>
      <c r="L6" s="537"/>
      <c r="M6" s="537"/>
      <c r="N6" s="537"/>
      <c r="O6" s="537"/>
      <c r="P6" s="537"/>
      <c r="Q6" s="537"/>
      <c r="R6" s="292"/>
    </row>
    <row r="7" spans="2:19" s="35" customFormat="1" ht="33" thickBot="1" x14ac:dyDescent="0.25">
      <c r="B7" s="39" t="s">
        <v>102</v>
      </c>
      <c r="C7" s="35" t="s">
        <v>212</v>
      </c>
      <c r="E7" s="37">
        <v>1</v>
      </c>
      <c r="F7" s="27">
        <v>2</v>
      </c>
      <c r="G7" s="27">
        <v>3</v>
      </c>
      <c r="H7" s="27">
        <v>4</v>
      </c>
      <c r="I7" s="27">
        <v>5</v>
      </c>
      <c r="J7" s="27">
        <v>6</v>
      </c>
      <c r="K7" s="27">
        <v>7</v>
      </c>
      <c r="L7" s="27">
        <v>8</v>
      </c>
      <c r="M7" s="27">
        <v>9</v>
      </c>
      <c r="N7" s="27">
        <v>10</v>
      </c>
      <c r="O7" s="27">
        <v>20</v>
      </c>
      <c r="P7" s="27">
        <v>30</v>
      </c>
      <c r="Q7" s="27">
        <v>60</v>
      </c>
      <c r="R7" s="38">
        <v>90</v>
      </c>
    </row>
    <row r="8" spans="2:19" x14ac:dyDescent="0.2">
      <c r="E8" s="1"/>
      <c r="F8" s="1"/>
      <c r="G8" s="1"/>
      <c r="H8" s="1"/>
      <c r="I8" s="1"/>
      <c r="J8" s="1"/>
      <c r="K8" s="1"/>
      <c r="L8" s="1"/>
      <c r="M8" s="1"/>
      <c r="N8" s="1"/>
      <c r="O8" s="1"/>
      <c r="P8" s="1"/>
      <c r="Q8" s="1"/>
    </row>
    <row r="9" spans="2:19" x14ac:dyDescent="0.2">
      <c r="B9" s="3" t="str">
        <f>'2026 Applebee Finish Summary'!I5</f>
        <v>Estella</v>
      </c>
      <c r="C9" s="397">
        <f>'Race #1'!I4</f>
        <v>110</v>
      </c>
      <c r="D9" s="4"/>
      <c r="E9" s="43" t="e">
        <f>((60*$E$7)*($C9-$D$4)/(550+$D$4)/(60*60*24))</f>
        <v>#N/A</v>
      </c>
      <c r="F9" s="43" t="e">
        <f t="shared" ref="F9:Q17" si="0">((60*F$7)*($C9-$D$4)/(550+$D$4)/(60*60*24))</f>
        <v>#N/A</v>
      </c>
      <c r="G9" s="43" t="e">
        <f t="shared" si="0"/>
        <v>#N/A</v>
      </c>
      <c r="H9" s="43" t="e">
        <f t="shared" si="0"/>
        <v>#N/A</v>
      </c>
      <c r="I9" s="43" t="e">
        <f t="shared" si="0"/>
        <v>#N/A</v>
      </c>
      <c r="J9" s="43" t="e">
        <f t="shared" si="0"/>
        <v>#N/A</v>
      </c>
      <c r="K9" s="43" t="e">
        <f t="shared" si="0"/>
        <v>#N/A</v>
      </c>
      <c r="L9" s="43" t="e">
        <f t="shared" si="0"/>
        <v>#N/A</v>
      </c>
      <c r="M9" s="43" t="e">
        <f t="shared" si="0"/>
        <v>#N/A</v>
      </c>
      <c r="N9" s="43" t="e">
        <f t="shared" si="0"/>
        <v>#N/A</v>
      </c>
      <c r="O9" s="43" t="e">
        <f t="shared" si="0"/>
        <v>#N/A</v>
      </c>
      <c r="P9" s="43" t="e">
        <f t="shared" si="0"/>
        <v>#N/A</v>
      </c>
      <c r="Q9" s="43" t="e">
        <f t="shared" si="0"/>
        <v>#N/A</v>
      </c>
      <c r="R9" s="43" t="e">
        <f>((60*R$7)*($C9-$D$4)/(550+$D$4)/(60*60*24))</f>
        <v>#N/A</v>
      </c>
      <c r="S9" s="4"/>
    </row>
    <row r="10" spans="2:19" x14ac:dyDescent="0.2">
      <c r="B10" s="3" t="str">
        <f>'2026 Applebee Finish Summary'!I6</f>
        <v>Exit Strategy</v>
      </c>
      <c r="C10" s="397">
        <f>'Race #1'!I5</f>
        <v>96.5</v>
      </c>
      <c r="D10" s="4"/>
      <c r="E10" s="43" t="e">
        <f>((60*$E$7)*($C10-$D$4)/(550+$D$4)/(60*60*24))</f>
        <v>#N/A</v>
      </c>
      <c r="F10" s="43" t="e">
        <f t="shared" ref="F10:R22" si="1">((60*F$7)*($C10-$D$4)/(550+$D$4)/(60*60*24))</f>
        <v>#N/A</v>
      </c>
      <c r="G10" s="43" t="e">
        <f t="shared" si="1"/>
        <v>#N/A</v>
      </c>
      <c r="H10" s="43" t="e">
        <f t="shared" si="1"/>
        <v>#N/A</v>
      </c>
      <c r="I10" s="43" t="e">
        <f t="shared" si="1"/>
        <v>#N/A</v>
      </c>
      <c r="J10" s="43" t="e">
        <f t="shared" si="1"/>
        <v>#N/A</v>
      </c>
      <c r="K10" s="43" t="e">
        <f t="shared" si="1"/>
        <v>#N/A</v>
      </c>
      <c r="L10" s="43" t="e">
        <f t="shared" si="1"/>
        <v>#N/A</v>
      </c>
      <c r="M10" s="43" t="e">
        <f t="shared" si="1"/>
        <v>#N/A</v>
      </c>
      <c r="N10" s="43" t="e">
        <f t="shared" si="1"/>
        <v>#N/A</v>
      </c>
      <c r="O10" s="43" t="e">
        <f t="shared" si="1"/>
        <v>#N/A</v>
      </c>
      <c r="P10" s="43" t="e">
        <f t="shared" si="1"/>
        <v>#N/A</v>
      </c>
      <c r="Q10" s="43" t="e">
        <f t="shared" si="1"/>
        <v>#N/A</v>
      </c>
      <c r="R10" s="43" t="e">
        <f t="shared" si="1"/>
        <v>#N/A</v>
      </c>
    </row>
    <row r="11" spans="2:19" x14ac:dyDescent="0.2">
      <c r="B11" s="3" t="e">
        <f>'2026 Applebee Finish Summary'!#REF!</f>
        <v>#REF!</v>
      </c>
      <c r="C11" s="397" t="e">
        <f>'Race #1'!#REF!</f>
        <v>#REF!</v>
      </c>
      <c r="D11" s="4"/>
      <c r="E11" s="43" t="e">
        <f>((60*$E$7)*($C11-$D$4)/(550+$D$4)/(60*60*24))</f>
        <v>#REF!</v>
      </c>
      <c r="F11" s="43" t="e">
        <f t="shared" si="1"/>
        <v>#REF!</v>
      </c>
      <c r="G11" s="43" t="e">
        <f t="shared" si="1"/>
        <v>#REF!</v>
      </c>
      <c r="H11" s="43" t="e">
        <f t="shared" si="1"/>
        <v>#REF!</v>
      </c>
      <c r="I11" s="43" t="e">
        <f t="shared" si="1"/>
        <v>#REF!</v>
      </c>
      <c r="J11" s="43" t="e">
        <f t="shared" si="1"/>
        <v>#REF!</v>
      </c>
      <c r="K11" s="43" t="e">
        <f t="shared" si="1"/>
        <v>#REF!</v>
      </c>
      <c r="L11" s="43" t="e">
        <f t="shared" si="1"/>
        <v>#REF!</v>
      </c>
      <c r="M11" s="43" t="e">
        <f t="shared" si="1"/>
        <v>#REF!</v>
      </c>
      <c r="N11" s="43" t="e">
        <f t="shared" si="1"/>
        <v>#REF!</v>
      </c>
      <c r="O11" s="43" t="e">
        <f t="shared" si="1"/>
        <v>#REF!</v>
      </c>
      <c r="P11" s="43" t="e">
        <f t="shared" si="1"/>
        <v>#REF!</v>
      </c>
      <c r="Q11" s="43" t="e">
        <f t="shared" si="1"/>
        <v>#REF!</v>
      </c>
      <c r="R11" s="43" t="e">
        <f t="shared" si="1"/>
        <v>#REF!</v>
      </c>
    </row>
    <row r="12" spans="2:19" x14ac:dyDescent="0.2">
      <c r="B12" s="3" t="str">
        <f>'2026 Applebee Finish Summary'!I7</f>
        <v>Magoo</v>
      </c>
      <c r="C12" s="397">
        <f>'Race #1'!I6</f>
        <v>210</v>
      </c>
      <c r="D12" s="4"/>
      <c r="E12" s="43" t="e">
        <f>((60*E$7)*($C12-$D$4)/(550+$D$4)/(60*60*24))</f>
        <v>#N/A</v>
      </c>
      <c r="F12" s="43" t="e">
        <f t="shared" si="0"/>
        <v>#N/A</v>
      </c>
      <c r="G12" s="43" t="e">
        <f t="shared" si="0"/>
        <v>#N/A</v>
      </c>
      <c r="H12" s="43" t="e">
        <f t="shared" si="0"/>
        <v>#N/A</v>
      </c>
      <c r="I12" s="43" t="e">
        <f t="shared" si="0"/>
        <v>#N/A</v>
      </c>
      <c r="J12" s="43" t="e">
        <f t="shared" si="0"/>
        <v>#N/A</v>
      </c>
      <c r="K12" s="43" t="e">
        <f t="shared" si="0"/>
        <v>#N/A</v>
      </c>
      <c r="L12" s="43" t="e">
        <f t="shared" si="0"/>
        <v>#N/A</v>
      </c>
      <c r="M12" s="43" t="e">
        <f t="shared" si="0"/>
        <v>#N/A</v>
      </c>
      <c r="N12" s="43" t="e">
        <f t="shared" si="0"/>
        <v>#N/A</v>
      </c>
      <c r="O12" s="43" t="e">
        <f t="shared" si="0"/>
        <v>#N/A</v>
      </c>
      <c r="P12" s="43" t="e">
        <f t="shared" si="0"/>
        <v>#N/A</v>
      </c>
      <c r="Q12" s="43" t="e">
        <f t="shared" si="0"/>
        <v>#N/A</v>
      </c>
      <c r="R12" s="43" t="e">
        <f t="shared" si="1"/>
        <v>#N/A</v>
      </c>
      <c r="S12" s="43"/>
    </row>
    <row r="13" spans="2:19" x14ac:dyDescent="0.2">
      <c r="B13" s="3" t="str">
        <f>'2026 Applebee Finish Summary'!I8</f>
        <v>Feng Shui</v>
      </c>
      <c r="C13" s="397">
        <f>'Race #1'!I7</f>
        <v>188.1227776756605</v>
      </c>
      <c r="D13" s="4"/>
      <c r="E13" s="43" t="e">
        <f>((60*$E$7)*($C13-$D$4)/(550+$D$4)/(60*60*24))</f>
        <v>#N/A</v>
      </c>
      <c r="F13" s="43" t="e">
        <f t="shared" ref="F13:Q13" si="2">((60*F$7)*($C13-$D$4)/(550+$D$4)/(60*60*24))</f>
        <v>#N/A</v>
      </c>
      <c r="G13" s="43" t="e">
        <f t="shared" si="2"/>
        <v>#N/A</v>
      </c>
      <c r="H13" s="43" t="e">
        <f t="shared" si="2"/>
        <v>#N/A</v>
      </c>
      <c r="I13" s="43" t="e">
        <f t="shared" si="2"/>
        <v>#N/A</v>
      </c>
      <c r="J13" s="43" t="e">
        <f t="shared" si="2"/>
        <v>#N/A</v>
      </c>
      <c r="K13" s="43" t="e">
        <f t="shared" si="2"/>
        <v>#N/A</v>
      </c>
      <c r="L13" s="43" t="e">
        <f t="shared" si="2"/>
        <v>#N/A</v>
      </c>
      <c r="M13" s="43" t="e">
        <f t="shared" si="2"/>
        <v>#N/A</v>
      </c>
      <c r="N13" s="43" t="e">
        <f t="shared" si="2"/>
        <v>#N/A</v>
      </c>
      <c r="O13" s="43" t="e">
        <f t="shared" si="2"/>
        <v>#N/A</v>
      </c>
      <c r="P13" s="43" t="e">
        <f t="shared" si="2"/>
        <v>#N/A</v>
      </c>
      <c r="Q13" s="43" t="e">
        <f t="shared" si="2"/>
        <v>#N/A</v>
      </c>
      <c r="R13" s="43" t="e">
        <f t="shared" si="1"/>
        <v>#N/A</v>
      </c>
    </row>
    <row r="14" spans="2:19" x14ac:dyDescent="0.2">
      <c r="B14" s="3" t="str">
        <f>'2026 Applebee Finish Summary'!I9</f>
        <v>Grin</v>
      </c>
      <c r="C14" s="397">
        <f>'Race #1'!I8</f>
        <v>205.37762972886682</v>
      </c>
      <c r="D14" s="4"/>
      <c r="E14" s="43" t="e">
        <f t="shared" ref="E14:E22" si="3">((60*$E$7)*($C14-$D$4)/(550+$D$4)/(60*60*24))</f>
        <v>#N/A</v>
      </c>
      <c r="F14" s="43" t="e">
        <f t="shared" si="0"/>
        <v>#N/A</v>
      </c>
      <c r="G14" s="43" t="e">
        <f t="shared" si="0"/>
        <v>#N/A</v>
      </c>
      <c r="H14" s="43" t="e">
        <f t="shared" si="0"/>
        <v>#N/A</v>
      </c>
      <c r="I14" s="43" t="e">
        <f t="shared" si="0"/>
        <v>#N/A</v>
      </c>
      <c r="J14" s="43" t="e">
        <f t="shared" si="0"/>
        <v>#N/A</v>
      </c>
      <c r="K14" s="43" t="e">
        <f t="shared" si="0"/>
        <v>#N/A</v>
      </c>
      <c r="L14" s="43" t="e">
        <f t="shared" si="0"/>
        <v>#N/A</v>
      </c>
      <c r="M14" s="43" t="e">
        <f t="shared" si="0"/>
        <v>#N/A</v>
      </c>
      <c r="N14" s="43" t="e">
        <f t="shared" si="0"/>
        <v>#N/A</v>
      </c>
      <c r="O14" s="43" t="e">
        <f t="shared" si="0"/>
        <v>#N/A</v>
      </c>
      <c r="P14" s="43" t="e">
        <f t="shared" si="0"/>
        <v>#N/A</v>
      </c>
      <c r="Q14" s="43" t="e">
        <f t="shared" si="0"/>
        <v>#N/A</v>
      </c>
      <c r="R14" s="43" t="e">
        <f t="shared" si="1"/>
        <v>#N/A</v>
      </c>
    </row>
    <row r="15" spans="2:19" x14ac:dyDescent="0.2">
      <c r="B15" s="3" t="str">
        <f>'2026 Applebee Finish Summary'!I10</f>
        <v>Kristin B II</v>
      </c>
      <c r="C15" s="397">
        <f>'Race #1'!I9</f>
        <v>189.37685101517241</v>
      </c>
      <c r="D15" s="4"/>
      <c r="E15" s="43" t="e">
        <f t="shared" si="3"/>
        <v>#N/A</v>
      </c>
      <c r="F15" s="43" t="e">
        <f t="shared" si="0"/>
        <v>#N/A</v>
      </c>
      <c r="G15" s="43" t="e">
        <f t="shared" si="0"/>
        <v>#N/A</v>
      </c>
      <c r="H15" s="43" t="e">
        <f t="shared" si="0"/>
        <v>#N/A</v>
      </c>
      <c r="I15" s="43" t="e">
        <f t="shared" si="0"/>
        <v>#N/A</v>
      </c>
      <c r="J15" s="43" t="e">
        <f t="shared" si="0"/>
        <v>#N/A</v>
      </c>
      <c r="K15" s="43" t="e">
        <f t="shared" si="0"/>
        <v>#N/A</v>
      </c>
      <c r="L15" s="43" t="e">
        <f t="shared" si="0"/>
        <v>#N/A</v>
      </c>
      <c r="M15" s="43" t="e">
        <f t="shared" si="0"/>
        <v>#N/A</v>
      </c>
      <c r="N15" s="43" t="e">
        <f t="shared" si="0"/>
        <v>#N/A</v>
      </c>
      <c r="O15" s="43" t="e">
        <f t="shared" si="0"/>
        <v>#N/A</v>
      </c>
      <c r="P15" s="43" t="e">
        <f t="shared" si="0"/>
        <v>#N/A</v>
      </c>
      <c r="Q15" s="43" t="e">
        <f t="shared" si="0"/>
        <v>#N/A</v>
      </c>
      <c r="R15" s="43" t="e">
        <f t="shared" si="1"/>
        <v>#N/A</v>
      </c>
    </row>
    <row r="16" spans="2:19" x14ac:dyDescent="0.2">
      <c r="B16" s="3" t="str">
        <f>'2026 Applebee Finish Summary'!I11</f>
        <v>MacGuffin</v>
      </c>
      <c r="C16" s="397">
        <f>'Race #1'!I10</f>
        <v>204</v>
      </c>
      <c r="D16" s="4"/>
      <c r="E16" s="43" t="e">
        <f t="shared" si="3"/>
        <v>#N/A</v>
      </c>
      <c r="F16" s="43" t="e">
        <f t="shared" si="0"/>
        <v>#N/A</v>
      </c>
      <c r="G16" s="43" t="e">
        <f t="shared" si="0"/>
        <v>#N/A</v>
      </c>
      <c r="H16" s="43" t="e">
        <f t="shared" si="0"/>
        <v>#N/A</v>
      </c>
      <c r="I16" s="43" t="e">
        <f t="shared" si="0"/>
        <v>#N/A</v>
      </c>
      <c r="J16" s="43" t="e">
        <f t="shared" si="0"/>
        <v>#N/A</v>
      </c>
      <c r="K16" s="43" t="e">
        <f t="shared" si="0"/>
        <v>#N/A</v>
      </c>
      <c r="L16" s="43" t="e">
        <f t="shared" si="0"/>
        <v>#N/A</v>
      </c>
      <c r="M16" s="43" t="e">
        <f t="shared" si="0"/>
        <v>#N/A</v>
      </c>
      <c r="N16" s="43" t="e">
        <f t="shared" si="0"/>
        <v>#N/A</v>
      </c>
      <c r="O16" s="43" t="e">
        <f t="shared" si="0"/>
        <v>#N/A</v>
      </c>
      <c r="P16" s="43" t="e">
        <f t="shared" si="0"/>
        <v>#N/A</v>
      </c>
      <c r="Q16" s="43" t="e">
        <f t="shared" si="0"/>
        <v>#N/A</v>
      </c>
      <c r="R16" s="43" t="e">
        <f t="shared" si="1"/>
        <v>#N/A</v>
      </c>
    </row>
    <row r="17" spans="2:18" x14ac:dyDescent="0.2">
      <c r="B17" s="3" t="str">
        <f>'2026 Applebee Finish Summary'!I12</f>
        <v>Mirabelle</v>
      </c>
      <c r="C17" s="397">
        <f>'Race #1'!I11</f>
        <v>244.63132491716539</v>
      </c>
      <c r="D17" s="4"/>
      <c r="E17" s="43" t="e">
        <f t="shared" si="3"/>
        <v>#N/A</v>
      </c>
      <c r="F17" s="43" t="e">
        <f t="shared" si="0"/>
        <v>#N/A</v>
      </c>
      <c r="G17" s="43" t="e">
        <f t="shared" si="0"/>
        <v>#N/A</v>
      </c>
      <c r="H17" s="43" t="e">
        <f t="shared" si="0"/>
        <v>#N/A</v>
      </c>
      <c r="I17" s="43" t="e">
        <f t="shared" si="0"/>
        <v>#N/A</v>
      </c>
      <c r="J17" s="43" t="e">
        <f t="shared" si="0"/>
        <v>#N/A</v>
      </c>
      <c r="K17" s="43" t="e">
        <f t="shared" si="0"/>
        <v>#N/A</v>
      </c>
      <c r="L17" s="43" t="e">
        <f t="shared" si="0"/>
        <v>#N/A</v>
      </c>
      <c r="M17" s="43" t="e">
        <f t="shared" si="0"/>
        <v>#N/A</v>
      </c>
      <c r="N17" s="43" t="e">
        <f t="shared" si="0"/>
        <v>#N/A</v>
      </c>
      <c r="O17" s="43" t="e">
        <f t="shared" si="0"/>
        <v>#N/A</v>
      </c>
      <c r="P17" s="43" t="e">
        <f t="shared" si="0"/>
        <v>#N/A</v>
      </c>
      <c r="Q17" s="43" t="e">
        <f t="shared" si="0"/>
        <v>#N/A</v>
      </c>
      <c r="R17" s="43" t="e">
        <f t="shared" si="1"/>
        <v>#N/A</v>
      </c>
    </row>
    <row r="18" spans="2:18" x14ac:dyDescent="0.2">
      <c r="B18" s="3" t="str">
        <f>'2026 Applebee Finish Summary'!I13</f>
        <v>Outrageous</v>
      </c>
      <c r="C18" s="397">
        <f>'Race #1'!I12</f>
        <v>255.17561647534984</v>
      </c>
      <c r="D18" s="4"/>
      <c r="E18" s="43" t="e">
        <f t="shared" si="3"/>
        <v>#N/A</v>
      </c>
      <c r="F18" s="43" t="e">
        <f t="shared" ref="F18:Q22" si="4">((60*F$7)*($C18-$D$4)/(550+$D$4)/(60*60*24))</f>
        <v>#N/A</v>
      </c>
      <c r="G18" s="43" t="e">
        <f t="shared" si="4"/>
        <v>#N/A</v>
      </c>
      <c r="H18" s="43" t="e">
        <f t="shared" si="4"/>
        <v>#N/A</v>
      </c>
      <c r="I18" s="43" t="e">
        <f t="shared" si="4"/>
        <v>#N/A</v>
      </c>
      <c r="J18" s="43" t="e">
        <f t="shared" si="4"/>
        <v>#N/A</v>
      </c>
      <c r="K18" s="43" t="e">
        <f t="shared" si="4"/>
        <v>#N/A</v>
      </c>
      <c r="L18" s="43" t="e">
        <f t="shared" si="4"/>
        <v>#N/A</v>
      </c>
      <c r="M18" s="43" t="e">
        <f t="shared" si="4"/>
        <v>#N/A</v>
      </c>
      <c r="N18" s="43" t="e">
        <f t="shared" si="4"/>
        <v>#N/A</v>
      </c>
      <c r="O18" s="43" t="e">
        <f t="shared" si="4"/>
        <v>#N/A</v>
      </c>
      <c r="P18" s="43" t="e">
        <f t="shared" si="4"/>
        <v>#N/A</v>
      </c>
      <c r="Q18" s="43" t="e">
        <f t="shared" si="4"/>
        <v>#N/A</v>
      </c>
      <c r="R18" s="43" t="e">
        <f t="shared" si="1"/>
        <v>#N/A</v>
      </c>
    </row>
    <row r="19" spans="2:18" x14ac:dyDescent="0.2">
      <c r="B19" s="3" t="str">
        <f>'2026 Applebee Finish Summary'!I14</f>
        <v>Paradox</v>
      </c>
      <c r="C19" s="397">
        <f>'Race #1'!I13</f>
        <v>113.2874601593268</v>
      </c>
      <c r="D19" s="4"/>
      <c r="E19" s="43" t="e">
        <f t="shared" si="3"/>
        <v>#N/A</v>
      </c>
      <c r="F19" s="43" t="e">
        <f t="shared" si="4"/>
        <v>#N/A</v>
      </c>
      <c r="G19" s="43" t="e">
        <f t="shared" si="4"/>
        <v>#N/A</v>
      </c>
      <c r="H19" s="43" t="e">
        <f t="shared" si="4"/>
        <v>#N/A</v>
      </c>
      <c r="I19" s="43" t="e">
        <f t="shared" si="4"/>
        <v>#N/A</v>
      </c>
      <c r="J19" s="43" t="e">
        <f t="shared" si="4"/>
        <v>#N/A</v>
      </c>
      <c r="K19" s="43" t="e">
        <f t="shared" si="4"/>
        <v>#N/A</v>
      </c>
      <c r="L19" s="43" t="e">
        <f t="shared" si="4"/>
        <v>#N/A</v>
      </c>
      <c r="M19" s="43" t="e">
        <f t="shared" si="4"/>
        <v>#N/A</v>
      </c>
      <c r="N19" s="43" t="e">
        <f t="shared" si="4"/>
        <v>#N/A</v>
      </c>
      <c r="O19" s="43" t="e">
        <f t="shared" si="4"/>
        <v>#N/A</v>
      </c>
      <c r="P19" s="43" t="e">
        <f t="shared" si="4"/>
        <v>#N/A</v>
      </c>
      <c r="Q19" s="43" t="e">
        <f t="shared" si="4"/>
        <v>#N/A</v>
      </c>
      <c r="R19" s="43" t="e">
        <f t="shared" si="1"/>
        <v>#N/A</v>
      </c>
    </row>
    <row r="20" spans="2:18" x14ac:dyDescent="0.2">
      <c r="B20" s="3" t="str">
        <f>'2026 Applebee Finish Summary'!I15</f>
        <v>Pegasus</v>
      </c>
      <c r="C20" s="397">
        <f>'Race #1'!I14</f>
        <v>146.67969019901307</v>
      </c>
      <c r="D20" s="4"/>
      <c r="E20" s="43" t="e">
        <f t="shared" si="3"/>
        <v>#N/A</v>
      </c>
      <c r="F20" s="43" t="e">
        <f t="shared" si="4"/>
        <v>#N/A</v>
      </c>
      <c r="G20" s="43" t="e">
        <f t="shared" si="4"/>
        <v>#N/A</v>
      </c>
      <c r="H20" s="43" t="e">
        <f t="shared" si="4"/>
        <v>#N/A</v>
      </c>
      <c r="I20" s="43" t="e">
        <f t="shared" si="4"/>
        <v>#N/A</v>
      </c>
      <c r="J20" s="43" t="e">
        <f t="shared" si="4"/>
        <v>#N/A</v>
      </c>
      <c r="K20" s="43" t="e">
        <f t="shared" si="4"/>
        <v>#N/A</v>
      </c>
      <c r="L20" s="43" t="e">
        <f t="shared" si="4"/>
        <v>#N/A</v>
      </c>
      <c r="M20" s="43" t="e">
        <f t="shared" si="4"/>
        <v>#N/A</v>
      </c>
      <c r="N20" s="43" t="e">
        <f t="shared" si="4"/>
        <v>#N/A</v>
      </c>
      <c r="O20" s="43" t="e">
        <f t="shared" si="4"/>
        <v>#N/A</v>
      </c>
      <c r="P20" s="43" t="e">
        <f t="shared" si="4"/>
        <v>#N/A</v>
      </c>
      <c r="Q20" s="43" t="e">
        <f t="shared" si="4"/>
        <v>#N/A</v>
      </c>
      <c r="R20" s="43" t="e">
        <f t="shared" si="1"/>
        <v>#N/A</v>
      </c>
    </row>
    <row r="21" spans="2:18" x14ac:dyDescent="0.2">
      <c r="B21" s="3" t="e">
        <f>'2026 Applebee Finish Summary'!#REF!</f>
        <v>#REF!</v>
      </c>
      <c r="C21" s="397" t="e">
        <f>'Race #1'!#REF!</f>
        <v>#REF!</v>
      </c>
      <c r="D21" s="4"/>
      <c r="E21" s="43" t="e">
        <f>((60*$E$7)*($C21-$D$4)/(550+$D$4)/(60*60*24))</f>
        <v>#REF!</v>
      </c>
      <c r="F21" s="43" t="e">
        <f t="shared" ref="F21:Q21" si="5">((60*F$7)*($C21-$D$4)/(550+$D$4)/(60*60*24))</f>
        <v>#REF!</v>
      </c>
      <c r="G21" s="43" t="e">
        <f t="shared" si="5"/>
        <v>#REF!</v>
      </c>
      <c r="H21" s="43" t="e">
        <f t="shared" si="5"/>
        <v>#REF!</v>
      </c>
      <c r="I21" s="43" t="e">
        <f t="shared" si="5"/>
        <v>#REF!</v>
      </c>
      <c r="J21" s="43" t="e">
        <f t="shared" si="5"/>
        <v>#REF!</v>
      </c>
      <c r="K21" s="43" t="e">
        <f t="shared" si="5"/>
        <v>#REF!</v>
      </c>
      <c r="L21" s="43" t="e">
        <f t="shared" si="5"/>
        <v>#REF!</v>
      </c>
      <c r="M21" s="43" t="e">
        <f t="shared" si="5"/>
        <v>#REF!</v>
      </c>
      <c r="N21" s="43" t="e">
        <f t="shared" si="5"/>
        <v>#REF!</v>
      </c>
      <c r="O21" s="43" t="e">
        <f t="shared" si="5"/>
        <v>#REF!</v>
      </c>
      <c r="P21" s="43" t="e">
        <f t="shared" si="5"/>
        <v>#REF!</v>
      </c>
      <c r="Q21" s="43" t="e">
        <f t="shared" si="5"/>
        <v>#REF!</v>
      </c>
      <c r="R21" s="43" t="e">
        <f t="shared" si="1"/>
        <v>#REF!</v>
      </c>
    </row>
    <row r="22" spans="2:18" x14ac:dyDescent="0.2">
      <c r="B22" s="3" t="str">
        <f>'2026 Applebee Finish Summary'!I16</f>
        <v>Triton</v>
      </c>
      <c r="C22" s="397">
        <f>'Race #1'!I15</f>
        <v>212.4</v>
      </c>
      <c r="D22" s="4"/>
      <c r="E22" s="43" t="e">
        <f t="shared" si="3"/>
        <v>#N/A</v>
      </c>
      <c r="F22" s="43" t="e">
        <f t="shared" si="4"/>
        <v>#N/A</v>
      </c>
      <c r="G22" s="43" t="e">
        <f t="shared" si="4"/>
        <v>#N/A</v>
      </c>
      <c r="H22" s="43" t="e">
        <f t="shared" si="4"/>
        <v>#N/A</v>
      </c>
      <c r="I22" s="43" t="e">
        <f t="shared" si="4"/>
        <v>#N/A</v>
      </c>
      <c r="J22" s="43" t="e">
        <f t="shared" si="4"/>
        <v>#N/A</v>
      </c>
      <c r="K22" s="43" t="e">
        <f t="shared" si="4"/>
        <v>#N/A</v>
      </c>
      <c r="L22" s="43" t="e">
        <f t="shared" si="4"/>
        <v>#N/A</v>
      </c>
      <c r="M22" s="43" t="e">
        <f t="shared" si="4"/>
        <v>#N/A</v>
      </c>
      <c r="N22" s="43" t="e">
        <f t="shared" si="4"/>
        <v>#N/A</v>
      </c>
      <c r="O22" s="43" t="e">
        <f t="shared" si="4"/>
        <v>#N/A</v>
      </c>
      <c r="P22" s="43" t="e">
        <f t="shared" si="4"/>
        <v>#N/A</v>
      </c>
      <c r="Q22" s="43" t="e">
        <f t="shared" si="4"/>
        <v>#N/A</v>
      </c>
      <c r="R22" s="43" t="e">
        <f t="shared" si="1"/>
        <v>#N/A</v>
      </c>
    </row>
    <row r="23" spans="2:18" x14ac:dyDescent="0.2">
      <c r="C23" s="4"/>
      <c r="D23" s="4"/>
      <c r="E23" s="36"/>
      <c r="F23" s="36"/>
      <c r="G23" s="36"/>
      <c r="H23" s="36"/>
      <c r="I23" s="36"/>
      <c r="J23" s="36"/>
      <c r="K23" s="36"/>
      <c r="L23" s="36"/>
      <c r="M23" s="36"/>
      <c r="N23" s="36"/>
      <c r="O23" s="36"/>
      <c r="P23" s="36"/>
      <c r="Q23" s="36"/>
    </row>
    <row r="24" spans="2:18" ht="16" thickBot="1" x14ac:dyDescent="0.25"/>
    <row r="25" spans="2:18" ht="16" thickBot="1" x14ac:dyDescent="0.25">
      <c r="B25" s="538" t="s">
        <v>330</v>
      </c>
      <c r="C25" s="504"/>
      <c r="D25" s="55" t="e">
        <f>VLOOKUP('Interval Calcs - By Boat'!D2,'Race #1'!B4:I17,8,FALSE)</f>
        <v>#N/A</v>
      </c>
      <c r="E25" s="53" t="s">
        <v>182</v>
      </c>
      <c r="F25" t="s">
        <v>332</v>
      </c>
    </row>
    <row r="26" spans="2:18" ht="16" thickBot="1" x14ac:dyDescent="0.25">
      <c r="E26" s="53"/>
      <c r="F26" s="53"/>
      <c r="G26" s="53"/>
      <c r="H26" s="53"/>
      <c r="I26" s="53"/>
      <c r="J26" s="53"/>
      <c r="K26" s="53"/>
      <c r="L26" s="53"/>
      <c r="M26" s="53"/>
      <c r="N26" s="53"/>
      <c r="O26" s="53"/>
      <c r="P26" s="53"/>
      <c r="Q26" s="53"/>
    </row>
    <row r="27" spans="2:18" x14ac:dyDescent="0.2">
      <c r="E27" s="536" t="s">
        <v>211</v>
      </c>
      <c r="F27" s="537"/>
      <c r="G27" s="537"/>
      <c r="H27" s="537"/>
      <c r="I27" s="537"/>
      <c r="J27" s="537"/>
      <c r="K27" s="537"/>
      <c r="L27" s="537"/>
      <c r="M27" s="537"/>
      <c r="N27" s="537"/>
      <c r="O27" s="537"/>
      <c r="P27" s="537"/>
      <c r="Q27" s="537"/>
      <c r="R27" s="292"/>
    </row>
    <row r="28" spans="2:18" ht="33" thickBot="1" x14ac:dyDescent="0.25">
      <c r="B28" s="39" t="s">
        <v>102</v>
      </c>
      <c r="C28" s="35" t="s">
        <v>212</v>
      </c>
      <c r="D28" s="35"/>
      <c r="E28" s="37">
        <v>1</v>
      </c>
      <c r="F28" s="27">
        <v>2</v>
      </c>
      <c r="G28" s="27">
        <v>3</v>
      </c>
      <c r="H28" s="27">
        <v>4</v>
      </c>
      <c r="I28" s="27">
        <v>5</v>
      </c>
      <c r="J28" s="27">
        <v>6</v>
      </c>
      <c r="K28" s="27">
        <v>7</v>
      </c>
      <c r="L28" s="27">
        <v>8</v>
      </c>
      <c r="M28" s="27">
        <v>9</v>
      </c>
      <c r="N28" s="27">
        <v>10</v>
      </c>
      <c r="O28" s="27">
        <v>20</v>
      </c>
      <c r="P28" s="27">
        <v>30</v>
      </c>
      <c r="Q28" s="27">
        <v>60</v>
      </c>
      <c r="R28" s="38">
        <v>90</v>
      </c>
    </row>
    <row r="29" spans="2:18" x14ac:dyDescent="0.2">
      <c r="E29" s="1"/>
      <c r="F29" s="1"/>
      <c r="G29" s="1"/>
      <c r="H29" s="1"/>
      <c r="I29" s="1"/>
      <c r="J29" s="1"/>
      <c r="K29" s="1"/>
      <c r="L29" s="1"/>
      <c r="M29" s="1"/>
      <c r="N29" s="1"/>
      <c r="O29" s="1"/>
      <c r="P29" s="1"/>
      <c r="Q29" s="1"/>
    </row>
    <row r="30" spans="2:18" x14ac:dyDescent="0.2">
      <c r="B30" s="3" t="str">
        <f>'2026 Applebee Finish Summary'!I5</f>
        <v>Estella</v>
      </c>
      <c r="C30" s="4">
        <f>C9</f>
        <v>110</v>
      </c>
      <c r="D30" s="4"/>
      <c r="E30" s="43" t="e">
        <f>((60*E$7)*($C30-$D$25)/(550+$D$25)/(60*60*24))</f>
        <v>#N/A</v>
      </c>
      <c r="F30" s="43" t="e">
        <f t="shared" ref="F30:R30" si="6">((60*F$7)*($C30-$D$25)/(550+$D$25)/(60*60*24))</f>
        <v>#N/A</v>
      </c>
      <c r="G30" s="43" t="e">
        <f t="shared" si="6"/>
        <v>#N/A</v>
      </c>
      <c r="H30" s="43" t="e">
        <f t="shared" si="6"/>
        <v>#N/A</v>
      </c>
      <c r="I30" s="43" t="e">
        <f t="shared" si="6"/>
        <v>#N/A</v>
      </c>
      <c r="J30" s="43" t="e">
        <f t="shared" si="6"/>
        <v>#N/A</v>
      </c>
      <c r="K30" s="43" t="e">
        <f t="shared" si="6"/>
        <v>#N/A</v>
      </c>
      <c r="L30" s="43" t="e">
        <f t="shared" si="6"/>
        <v>#N/A</v>
      </c>
      <c r="M30" s="43" t="e">
        <f t="shared" si="6"/>
        <v>#N/A</v>
      </c>
      <c r="N30" s="43" t="e">
        <f t="shared" si="6"/>
        <v>#N/A</v>
      </c>
      <c r="O30" s="43" t="e">
        <f t="shared" si="6"/>
        <v>#N/A</v>
      </c>
      <c r="P30" s="43" t="e">
        <f t="shared" si="6"/>
        <v>#N/A</v>
      </c>
      <c r="Q30" s="43" t="e">
        <f t="shared" si="6"/>
        <v>#N/A</v>
      </c>
      <c r="R30" s="43" t="e">
        <f t="shared" si="6"/>
        <v>#N/A</v>
      </c>
    </row>
    <row r="31" spans="2:18" x14ac:dyDescent="0.2">
      <c r="B31" s="3" t="str">
        <f>'2026 Applebee Finish Summary'!I6</f>
        <v>Exit Strategy</v>
      </c>
      <c r="C31" s="4">
        <f>C10</f>
        <v>96.5</v>
      </c>
      <c r="D31" s="4"/>
      <c r="E31" s="43" t="e">
        <f>((60*E$7)*($C31-$D$25)/(550+$D$25)/(60*60*24))</f>
        <v>#N/A</v>
      </c>
      <c r="F31" s="43" t="e">
        <f>((60*F$7)*($C31-$D$25)/(550+$D$25)/(60*60*24))</f>
        <v>#N/A</v>
      </c>
      <c r="G31" s="43" t="e">
        <f t="shared" ref="E31:Q43" si="7">((60*G$7)*($C31-$D$25)/(550+$D$25)/(60*60*24))</f>
        <v>#N/A</v>
      </c>
      <c r="H31" s="43" t="e">
        <f t="shared" si="7"/>
        <v>#N/A</v>
      </c>
      <c r="I31" s="43" t="e">
        <f t="shared" si="7"/>
        <v>#N/A</v>
      </c>
      <c r="J31" s="43" t="e">
        <f t="shared" si="7"/>
        <v>#N/A</v>
      </c>
      <c r="K31" s="43" t="e">
        <f t="shared" si="7"/>
        <v>#N/A</v>
      </c>
      <c r="L31" s="43" t="e">
        <f t="shared" si="7"/>
        <v>#N/A</v>
      </c>
      <c r="M31" s="43" t="e">
        <f t="shared" si="7"/>
        <v>#N/A</v>
      </c>
      <c r="N31" s="43" t="e">
        <f t="shared" si="7"/>
        <v>#N/A</v>
      </c>
      <c r="O31" s="43" t="e">
        <f t="shared" si="7"/>
        <v>#N/A</v>
      </c>
      <c r="P31" s="43" t="e">
        <f t="shared" si="7"/>
        <v>#N/A</v>
      </c>
      <c r="Q31" s="43" t="e">
        <f t="shared" si="7"/>
        <v>#N/A</v>
      </c>
      <c r="R31" s="43" t="e">
        <f t="shared" ref="R31:R43" si="8">((60*R$7)*($C31-$D$25)/(550+$D$25)/(60*60*24))</f>
        <v>#N/A</v>
      </c>
    </row>
    <row r="32" spans="2:18" x14ac:dyDescent="0.2">
      <c r="B32" s="3" t="e">
        <f>'2026 Applebee Finish Summary'!#REF!</f>
        <v>#REF!</v>
      </c>
      <c r="C32" s="4" t="e">
        <f>C11</f>
        <v>#REF!</v>
      </c>
      <c r="D32" s="4"/>
      <c r="E32" s="43" t="e">
        <f>((60*E$7)*($C32-$D$25)/(550+$D$25)/(60*60*24))</f>
        <v>#REF!</v>
      </c>
      <c r="F32" s="43" t="e">
        <f t="shared" si="7"/>
        <v>#REF!</v>
      </c>
      <c r="G32" s="43" t="e">
        <f t="shared" si="7"/>
        <v>#REF!</v>
      </c>
      <c r="H32" s="43" t="e">
        <f t="shared" si="7"/>
        <v>#REF!</v>
      </c>
      <c r="I32" s="43" t="e">
        <f t="shared" si="7"/>
        <v>#REF!</v>
      </c>
      <c r="J32" s="43" t="e">
        <f t="shared" si="7"/>
        <v>#REF!</v>
      </c>
      <c r="K32" s="43" t="e">
        <f t="shared" si="7"/>
        <v>#REF!</v>
      </c>
      <c r="L32" s="43" t="e">
        <f t="shared" si="7"/>
        <v>#REF!</v>
      </c>
      <c r="M32" s="43" t="e">
        <f t="shared" si="7"/>
        <v>#REF!</v>
      </c>
      <c r="N32" s="43" t="e">
        <f t="shared" si="7"/>
        <v>#REF!</v>
      </c>
      <c r="O32" s="43" t="e">
        <f t="shared" si="7"/>
        <v>#REF!</v>
      </c>
      <c r="P32" s="43" t="e">
        <f t="shared" si="7"/>
        <v>#REF!</v>
      </c>
      <c r="Q32" s="43" t="e">
        <f t="shared" si="7"/>
        <v>#REF!</v>
      </c>
      <c r="R32" s="43" t="e">
        <f t="shared" si="8"/>
        <v>#REF!</v>
      </c>
    </row>
    <row r="33" spans="1:18" x14ac:dyDescent="0.2">
      <c r="B33" s="3" t="str">
        <f>'2026 Applebee Finish Summary'!I7</f>
        <v>Magoo</v>
      </c>
      <c r="C33" s="4">
        <f t="shared" ref="C33:C43" si="9">C12</f>
        <v>210</v>
      </c>
      <c r="D33" s="4"/>
      <c r="E33" s="43" t="e">
        <f t="shared" si="7"/>
        <v>#N/A</v>
      </c>
      <c r="F33" s="43" t="e">
        <f t="shared" si="7"/>
        <v>#N/A</v>
      </c>
      <c r="G33" s="43" t="e">
        <f t="shared" si="7"/>
        <v>#N/A</v>
      </c>
      <c r="H33" s="43" t="e">
        <f t="shared" si="7"/>
        <v>#N/A</v>
      </c>
      <c r="I33" s="43" t="e">
        <f t="shared" si="7"/>
        <v>#N/A</v>
      </c>
      <c r="J33" s="43" t="e">
        <f t="shared" si="7"/>
        <v>#N/A</v>
      </c>
      <c r="K33" s="43" t="e">
        <f t="shared" si="7"/>
        <v>#N/A</v>
      </c>
      <c r="L33" s="43" t="e">
        <f t="shared" si="7"/>
        <v>#N/A</v>
      </c>
      <c r="M33" s="43" t="e">
        <f t="shared" si="7"/>
        <v>#N/A</v>
      </c>
      <c r="N33" s="43" t="e">
        <f t="shared" si="7"/>
        <v>#N/A</v>
      </c>
      <c r="O33" s="43" t="e">
        <f t="shared" si="7"/>
        <v>#N/A</v>
      </c>
      <c r="P33" s="43" t="e">
        <f t="shared" si="7"/>
        <v>#N/A</v>
      </c>
      <c r="Q33" s="43" t="e">
        <f t="shared" si="7"/>
        <v>#N/A</v>
      </c>
      <c r="R33" s="43" t="e">
        <f t="shared" si="8"/>
        <v>#N/A</v>
      </c>
    </row>
    <row r="34" spans="1:18" x14ac:dyDescent="0.2">
      <c r="B34" s="3" t="str">
        <f>'2026 Applebee Finish Summary'!I8</f>
        <v>Feng Shui</v>
      </c>
      <c r="C34" s="4">
        <f t="shared" si="9"/>
        <v>188.1227776756605</v>
      </c>
      <c r="D34" s="4"/>
      <c r="E34" s="43" t="e">
        <f t="shared" si="7"/>
        <v>#N/A</v>
      </c>
      <c r="F34" s="43" t="e">
        <f t="shared" si="7"/>
        <v>#N/A</v>
      </c>
      <c r="G34" s="43" t="e">
        <f t="shared" si="7"/>
        <v>#N/A</v>
      </c>
      <c r="H34" s="43" t="e">
        <f t="shared" si="7"/>
        <v>#N/A</v>
      </c>
      <c r="I34" s="43" t="e">
        <f t="shared" si="7"/>
        <v>#N/A</v>
      </c>
      <c r="J34" s="43" t="e">
        <f t="shared" si="7"/>
        <v>#N/A</v>
      </c>
      <c r="K34" s="43" t="e">
        <f t="shared" si="7"/>
        <v>#N/A</v>
      </c>
      <c r="L34" s="43" t="e">
        <f t="shared" si="7"/>
        <v>#N/A</v>
      </c>
      <c r="M34" s="43" t="e">
        <f t="shared" si="7"/>
        <v>#N/A</v>
      </c>
      <c r="N34" s="43" t="e">
        <f t="shared" si="7"/>
        <v>#N/A</v>
      </c>
      <c r="O34" s="43" t="e">
        <f t="shared" si="7"/>
        <v>#N/A</v>
      </c>
      <c r="P34" s="43" t="e">
        <f t="shared" si="7"/>
        <v>#N/A</v>
      </c>
      <c r="Q34" s="43" t="e">
        <f t="shared" si="7"/>
        <v>#N/A</v>
      </c>
      <c r="R34" s="43" t="e">
        <f t="shared" si="8"/>
        <v>#N/A</v>
      </c>
    </row>
    <row r="35" spans="1:18" x14ac:dyDescent="0.2">
      <c r="B35" s="3" t="str">
        <f>'2026 Applebee Finish Summary'!I9</f>
        <v>Grin</v>
      </c>
      <c r="C35" s="4">
        <f t="shared" si="9"/>
        <v>205.37762972886682</v>
      </c>
      <c r="D35" s="4"/>
      <c r="E35" s="43" t="e">
        <f t="shared" si="7"/>
        <v>#N/A</v>
      </c>
      <c r="F35" s="43" t="e">
        <f t="shared" si="7"/>
        <v>#N/A</v>
      </c>
      <c r="G35" s="43" t="e">
        <f t="shared" si="7"/>
        <v>#N/A</v>
      </c>
      <c r="H35" s="43" t="e">
        <f t="shared" si="7"/>
        <v>#N/A</v>
      </c>
      <c r="I35" s="43" t="e">
        <f t="shared" si="7"/>
        <v>#N/A</v>
      </c>
      <c r="J35" s="43" t="e">
        <f t="shared" si="7"/>
        <v>#N/A</v>
      </c>
      <c r="K35" s="43" t="e">
        <f t="shared" si="7"/>
        <v>#N/A</v>
      </c>
      <c r="L35" s="43" t="e">
        <f t="shared" si="7"/>
        <v>#N/A</v>
      </c>
      <c r="M35" s="43" t="e">
        <f t="shared" si="7"/>
        <v>#N/A</v>
      </c>
      <c r="N35" s="43" t="e">
        <f t="shared" si="7"/>
        <v>#N/A</v>
      </c>
      <c r="O35" s="43" t="e">
        <f t="shared" si="7"/>
        <v>#N/A</v>
      </c>
      <c r="P35" s="43" t="e">
        <f t="shared" si="7"/>
        <v>#N/A</v>
      </c>
      <c r="Q35" s="43" t="e">
        <f t="shared" si="7"/>
        <v>#N/A</v>
      </c>
      <c r="R35" s="43" t="e">
        <f t="shared" si="8"/>
        <v>#N/A</v>
      </c>
    </row>
    <row r="36" spans="1:18" x14ac:dyDescent="0.2">
      <c r="B36" s="3" t="str">
        <f>'2026 Applebee Finish Summary'!I10</f>
        <v>Kristin B II</v>
      </c>
      <c r="C36" s="4">
        <f t="shared" si="9"/>
        <v>189.37685101517241</v>
      </c>
      <c r="D36" s="4"/>
      <c r="E36" s="43" t="e">
        <f t="shared" si="7"/>
        <v>#N/A</v>
      </c>
      <c r="F36" s="43" t="e">
        <f t="shared" si="7"/>
        <v>#N/A</v>
      </c>
      <c r="G36" s="43" t="e">
        <f t="shared" si="7"/>
        <v>#N/A</v>
      </c>
      <c r="H36" s="43" t="e">
        <f t="shared" si="7"/>
        <v>#N/A</v>
      </c>
      <c r="I36" s="43" t="e">
        <f t="shared" si="7"/>
        <v>#N/A</v>
      </c>
      <c r="J36" s="43" t="e">
        <f t="shared" si="7"/>
        <v>#N/A</v>
      </c>
      <c r="K36" s="43" t="e">
        <f t="shared" si="7"/>
        <v>#N/A</v>
      </c>
      <c r="L36" s="43" t="e">
        <f t="shared" si="7"/>
        <v>#N/A</v>
      </c>
      <c r="M36" s="43" t="e">
        <f t="shared" si="7"/>
        <v>#N/A</v>
      </c>
      <c r="N36" s="43" t="e">
        <f t="shared" si="7"/>
        <v>#N/A</v>
      </c>
      <c r="O36" s="43" t="e">
        <f t="shared" si="7"/>
        <v>#N/A</v>
      </c>
      <c r="P36" s="43" t="e">
        <f t="shared" si="7"/>
        <v>#N/A</v>
      </c>
      <c r="Q36" s="43" t="e">
        <f t="shared" si="7"/>
        <v>#N/A</v>
      </c>
      <c r="R36" s="43" t="e">
        <f t="shared" si="8"/>
        <v>#N/A</v>
      </c>
    </row>
    <row r="37" spans="1:18" x14ac:dyDescent="0.2">
      <c r="B37" s="3" t="str">
        <f>'2026 Applebee Finish Summary'!I11</f>
        <v>MacGuffin</v>
      </c>
      <c r="C37" s="4">
        <f t="shared" si="9"/>
        <v>204</v>
      </c>
      <c r="D37" s="4"/>
      <c r="E37" s="43" t="e">
        <f t="shared" si="7"/>
        <v>#N/A</v>
      </c>
      <c r="F37" s="43" t="e">
        <f t="shared" si="7"/>
        <v>#N/A</v>
      </c>
      <c r="G37" s="43" t="e">
        <f t="shared" si="7"/>
        <v>#N/A</v>
      </c>
      <c r="H37" s="43" t="e">
        <f t="shared" si="7"/>
        <v>#N/A</v>
      </c>
      <c r="I37" s="43" t="e">
        <f t="shared" si="7"/>
        <v>#N/A</v>
      </c>
      <c r="J37" s="43" t="e">
        <f t="shared" si="7"/>
        <v>#N/A</v>
      </c>
      <c r="K37" s="43" t="e">
        <f t="shared" si="7"/>
        <v>#N/A</v>
      </c>
      <c r="L37" s="43" t="e">
        <f t="shared" si="7"/>
        <v>#N/A</v>
      </c>
      <c r="M37" s="43" t="e">
        <f t="shared" si="7"/>
        <v>#N/A</v>
      </c>
      <c r="N37" s="43" t="e">
        <f t="shared" si="7"/>
        <v>#N/A</v>
      </c>
      <c r="O37" s="43" t="e">
        <f t="shared" si="7"/>
        <v>#N/A</v>
      </c>
      <c r="P37" s="43" t="e">
        <f t="shared" si="7"/>
        <v>#N/A</v>
      </c>
      <c r="Q37" s="43" t="e">
        <f t="shared" si="7"/>
        <v>#N/A</v>
      </c>
      <c r="R37" s="43" t="e">
        <f t="shared" si="8"/>
        <v>#N/A</v>
      </c>
    </row>
    <row r="38" spans="1:18" x14ac:dyDescent="0.2">
      <c r="B38" s="3" t="str">
        <f>'2026 Applebee Finish Summary'!I12</f>
        <v>Mirabelle</v>
      </c>
      <c r="C38" s="4">
        <f t="shared" si="9"/>
        <v>244.63132491716539</v>
      </c>
      <c r="D38" s="4"/>
      <c r="E38" s="43" t="e">
        <f t="shared" si="7"/>
        <v>#N/A</v>
      </c>
      <c r="F38" s="43" t="e">
        <f t="shared" si="7"/>
        <v>#N/A</v>
      </c>
      <c r="G38" s="43" t="e">
        <f t="shared" si="7"/>
        <v>#N/A</v>
      </c>
      <c r="H38" s="43" t="e">
        <f t="shared" si="7"/>
        <v>#N/A</v>
      </c>
      <c r="I38" s="43" t="e">
        <f t="shared" si="7"/>
        <v>#N/A</v>
      </c>
      <c r="J38" s="43" t="e">
        <f t="shared" si="7"/>
        <v>#N/A</v>
      </c>
      <c r="K38" s="43" t="e">
        <f t="shared" si="7"/>
        <v>#N/A</v>
      </c>
      <c r="L38" s="43" t="e">
        <f t="shared" si="7"/>
        <v>#N/A</v>
      </c>
      <c r="M38" s="43" t="e">
        <f t="shared" si="7"/>
        <v>#N/A</v>
      </c>
      <c r="N38" s="43" t="e">
        <f t="shared" si="7"/>
        <v>#N/A</v>
      </c>
      <c r="O38" s="43" t="e">
        <f t="shared" si="7"/>
        <v>#N/A</v>
      </c>
      <c r="P38" s="43" t="e">
        <f t="shared" si="7"/>
        <v>#N/A</v>
      </c>
      <c r="Q38" s="43" t="e">
        <f t="shared" si="7"/>
        <v>#N/A</v>
      </c>
      <c r="R38" s="43" t="e">
        <f t="shared" si="8"/>
        <v>#N/A</v>
      </c>
    </row>
    <row r="39" spans="1:18" x14ac:dyDescent="0.2">
      <c r="B39" s="3" t="str">
        <f>'2026 Applebee Finish Summary'!I13</f>
        <v>Outrageous</v>
      </c>
      <c r="C39" s="4">
        <f t="shared" si="9"/>
        <v>255.17561647534984</v>
      </c>
      <c r="D39" s="4"/>
      <c r="E39" s="43" t="e">
        <f t="shared" si="7"/>
        <v>#N/A</v>
      </c>
      <c r="F39" s="43" t="e">
        <f t="shared" si="7"/>
        <v>#N/A</v>
      </c>
      <c r="G39" s="43" t="e">
        <f t="shared" si="7"/>
        <v>#N/A</v>
      </c>
      <c r="H39" s="43" t="e">
        <f t="shared" si="7"/>
        <v>#N/A</v>
      </c>
      <c r="I39" s="43" t="e">
        <f t="shared" si="7"/>
        <v>#N/A</v>
      </c>
      <c r="J39" s="43" t="e">
        <f t="shared" si="7"/>
        <v>#N/A</v>
      </c>
      <c r="K39" s="43" t="e">
        <f t="shared" si="7"/>
        <v>#N/A</v>
      </c>
      <c r="L39" s="43" t="e">
        <f t="shared" si="7"/>
        <v>#N/A</v>
      </c>
      <c r="M39" s="43" t="e">
        <f t="shared" si="7"/>
        <v>#N/A</v>
      </c>
      <c r="N39" s="43" t="e">
        <f t="shared" si="7"/>
        <v>#N/A</v>
      </c>
      <c r="O39" s="43" t="e">
        <f t="shared" si="7"/>
        <v>#N/A</v>
      </c>
      <c r="P39" s="43" t="e">
        <f t="shared" si="7"/>
        <v>#N/A</v>
      </c>
      <c r="Q39" s="43" t="e">
        <f t="shared" si="7"/>
        <v>#N/A</v>
      </c>
      <c r="R39" s="43" t="e">
        <f t="shared" si="8"/>
        <v>#N/A</v>
      </c>
    </row>
    <row r="40" spans="1:18" x14ac:dyDescent="0.2">
      <c r="A40" s="1" t="s">
        <v>331</v>
      </c>
      <c r="B40" s="3" t="str">
        <f>'2026 Applebee Finish Summary'!I14</f>
        <v>Paradox</v>
      </c>
      <c r="C40" s="4">
        <f>'Race #9'!G13</f>
        <v>94.35</v>
      </c>
      <c r="D40" s="4"/>
      <c r="E40" s="43" t="e">
        <f t="shared" si="7"/>
        <v>#N/A</v>
      </c>
      <c r="F40" s="43" t="e">
        <f t="shared" si="7"/>
        <v>#N/A</v>
      </c>
      <c r="G40" s="43" t="e">
        <f t="shared" si="7"/>
        <v>#N/A</v>
      </c>
      <c r="H40" s="43" t="e">
        <f t="shared" si="7"/>
        <v>#N/A</v>
      </c>
      <c r="I40" s="43" t="e">
        <f t="shared" si="7"/>
        <v>#N/A</v>
      </c>
      <c r="J40" s="43" t="e">
        <f t="shared" si="7"/>
        <v>#N/A</v>
      </c>
      <c r="K40" s="43" t="e">
        <f t="shared" si="7"/>
        <v>#N/A</v>
      </c>
      <c r="L40" s="43" t="e">
        <f t="shared" si="7"/>
        <v>#N/A</v>
      </c>
      <c r="M40" s="43" t="e">
        <f t="shared" si="7"/>
        <v>#N/A</v>
      </c>
      <c r="N40" s="43" t="e">
        <f t="shared" si="7"/>
        <v>#N/A</v>
      </c>
      <c r="O40" s="43" t="e">
        <f t="shared" si="7"/>
        <v>#N/A</v>
      </c>
      <c r="P40" s="43" t="e">
        <f t="shared" si="7"/>
        <v>#N/A</v>
      </c>
      <c r="Q40" s="43" t="e">
        <f t="shared" si="7"/>
        <v>#N/A</v>
      </c>
      <c r="R40" s="43" t="e">
        <f t="shared" si="8"/>
        <v>#N/A</v>
      </c>
    </row>
    <row r="41" spans="1:18" x14ac:dyDescent="0.2">
      <c r="B41" s="3" t="str">
        <f>'2026 Applebee Finish Summary'!I15</f>
        <v>Pegasus</v>
      </c>
      <c r="C41" s="4">
        <f t="shared" si="9"/>
        <v>146.67969019901307</v>
      </c>
      <c r="D41" s="4"/>
      <c r="E41" s="43" t="e">
        <f t="shared" si="7"/>
        <v>#N/A</v>
      </c>
      <c r="F41" s="43" t="e">
        <f t="shared" si="7"/>
        <v>#N/A</v>
      </c>
      <c r="G41" s="43" t="e">
        <f t="shared" si="7"/>
        <v>#N/A</v>
      </c>
      <c r="H41" s="43" t="e">
        <f t="shared" si="7"/>
        <v>#N/A</v>
      </c>
      <c r="I41" s="43" t="e">
        <f t="shared" si="7"/>
        <v>#N/A</v>
      </c>
      <c r="J41" s="43" t="e">
        <f t="shared" si="7"/>
        <v>#N/A</v>
      </c>
      <c r="K41" s="43" t="e">
        <f t="shared" si="7"/>
        <v>#N/A</v>
      </c>
      <c r="L41" s="43" t="e">
        <f t="shared" si="7"/>
        <v>#N/A</v>
      </c>
      <c r="M41" s="43" t="e">
        <f t="shared" si="7"/>
        <v>#N/A</v>
      </c>
      <c r="N41" s="43" t="e">
        <f t="shared" si="7"/>
        <v>#N/A</v>
      </c>
      <c r="O41" s="43" t="e">
        <f t="shared" si="7"/>
        <v>#N/A</v>
      </c>
      <c r="P41" s="43" t="e">
        <f t="shared" si="7"/>
        <v>#N/A</v>
      </c>
      <c r="Q41" s="43" t="e">
        <f t="shared" si="7"/>
        <v>#N/A</v>
      </c>
      <c r="R41" s="43" t="e">
        <f t="shared" si="8"/>
        <v>#N/A</v>
      </c>
    </row>
    <row r="42" spans="1:18" x14ac:dyDescent="0.2">
      <c r="B42" s="3" t="e">
        <f>'2026 Applebee Finish Summary'!#REF!</f>
        <v>#REF!</v>
      </c>
      <c r="C42" s="4" t="e">
        <f t="shared" si="9"/>
        <v>#REF!</v>
      </c>
      <c r="D42" s="4"/>
      <c r="E42" s="43" t="e">
        <f t="shared" si="7"/>
        <v>#REF!</v>
      </c>
      <c r="F42" s="43" t="e">
        <f t="shared" si="7"/>
        <v>#REF!</v>
      </c>
      <c r="G42" s="43" t="e">
        <f t="shared" si="7"/>
        <v>#REF!</v>
      </c>
      <c r="H42" s="43" t="e">
        <f t="shared" si="7"/>
        <v>#REF!</v>
      </c>
      <c r="I42" s="43" t="e">
        <f t="shared" si="7"/>
        <v>#REF!</v>
      </c>
      <c r="J42" s="43" t="e">
        <f t="shared" si="7"/>
        <v>#REF!</v>
      </c>
      <c r="K42" s="43" t="e">
        <f t="shared" si="7"/>
        <v>#REF!</v>
      </c>
      <c r="L42" s="43" t="e">
        <f t="shared" si="7"/>
        <v>#REF!</v>
      </c>
      <c r="M42" s="43" t="e">
        <f t="shared" si="7"/>
        <v>#REF!</v>
      </c>
      <c r="N42" s="43" t="e">
        <f t="shared" si="7"/>
        <v>#REF!</v>
      </c>
      <c r="O42" s="43" t="e">
        <f t="shared" si="7"/>
        <v>#REF!</v>
      </c>
      <c r="P42" s="43" t="e">
        <f t="shared" si="7"/>
        <v>#REF!</v>
      </c>
      <c r="Q42" s="43" t="e">
        <f t="shared" si="7"/>
        <v>#REF!</v>
      </c>
      <c r="R42" s="43" t="e">
        <f t="shared" si="8"/>
        <v>#REF!</v>
      </c>
    </row>
    <row r="43" spans="1:18" x14ac:dyDescent="0.2">
      <c r="B43" s="3" t="str">
        <f>'2026 Applebee Finish Summary'!I16</f>
        <v>Triton</v>
      </c>
      <c r="C43" s="4">
        <f t="shared" si="9"/>
        <v>212.4</v>
      </c>
      <c r="D43" s="4"/>
      <c r="E43" s="43" t="e">
        <f t="shared" si="7"/>
        <v>#N/A</v>
      </c>
      <c r="F43" s="43" t="e">
        <f t="shared" si="7"/>
        <v>#N/A</v>
      </c>
      <c r="G43" s="43" t="e">
        <f t="shared" si="7"/>
        <v>#N/A</v>
      </c>
      <c r="H43" s="43" t="e">
        <f t="shared" si="7"/>
        <v>#N/A</v>
      </c>
      <c r="I43" s="43" t="e">
        <f t="shared" si="7"/>
        <v>#N/A</v>
      </c>
      <c r="J43" s="43" t="e">
        <f t="shared" si="7"/>
        <v>#N/A</v>
      </c>
      <c r="K43" s="43" t="e">
        <f t="shared" si="7"/>
        <v>#N/A</v>
      </c>
      <c r="L43" s="43" t="e">
        <f t="shared" si="7"/>
        <v>#N/A</v>
      </c>
      <c r="M43" s="43" t="e">
        <f t="shared" si="7"/>
        <v>#N/A</v>
      </c>
      <c r="N43" s="43" t="e">
        <f t="shared" si="7"/>
        <v>#N/A</v>
      </c>
      <c r="O43" s="43" t="e">
        <f t="shared" si="7"/>
        <v>#N/A</v>
      </c>
      <c r="P43" s="43" t="e">
        <f t="shared" si="7"/>
        <v>#N/A</v>
      </c>
      <c r="Q43" s="43" t="e">
        <f t="shared" si="7"/>
        <v>#N/A</v>
      </c>
      <c r="R43" s="43" t="e">
        <f t="shared" si="8"/>
        <v>#N/A</v>
      </c>
    </row>
  </sheetData>
  <sortState xmlns:xlrd2="http://schemas.microsoft.com/office/spreadsheetml/2017/richdata2" ref="B30:Q43">
    <sortCondition ref="C30:C43"/>
  </sortState>
  <mergeCells count="5">
    <mergeCell ref="E1:Q1"/>
    <mergeCell ref="E6:Q6"/>
    <mergeCell ref="E27:Q27"/>
    <mergeCell ref="B4:C4"/>
    <mergeCell ref="B25:C25"/>
  </mergeCells>
  <pageMargins left="0.7" right="0.7" top="0.75" bottom="0.75" header="0.3" footer="0.3"/>
  <pageSetup scale="61"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5EBB650-B91E-9C4B-A075-3711A7DF3042}">
          <x14:formula1>
            <xm:f>'2026 Applebee Finish Summary'!$I$5:$I$18</xm:f>
          </x14:formula1>
          <xm:sqref>D2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C586A-4E0B-2D4D-8B0C-485F8129F4B2}">
  <dimension ref="B1:AD140"/>
  <sheetViews>
    <sheetView zoomScaleNormal="100" workbookViewId="0">
      <selection activeCell="D25" sqref="D25"/>
    </sheetView>
  </sheetViews>
  <sheetFormatPr baseColWidth="10" defaultColWidth="11.5" defaultRowHeight="15" x14ac:dyDescent="0.2"/>
  <cols>
    <col min="1" max="1" width="1.83203125" customWidth="1"/>
    <col min="2" max="2" width="5.83203125" customWidth="1"/>
    <col min="3" max="3" width="18.33203125" bestFit="1" customWidth="1"/>
    <col min="4" max="15" width="15.83203125" customWidth="1"/>
    <col min="16" max="21" width="12.33203125" customWidth="1"/>
  </cols>
  <sheetData>
    <row r="1" spans="2:21" x14ac:dyDescent="0.2">
      <c r="B1" t="s">
        <v>265</v>
      </c>
    </row>
    <row r="2" spans="2:21" x14ac:dyDescent="0.2">
      <c r="E2" s="535" t="s">
        <v>347</v>
      </c>
      <c r="F2" s="539"/>
      <c r="G2" s="539"/>
      <c r="H2" s="539"/>
      <c r="J2" s="535" t="s">
        <v>346</v>
      </c>
      <c r="K2" s="535"/>
      <c r="M2" s="535" t="s">
        <v>266</v>
      </c>
      <c r="N2" s="535"/>
    </row>
    <row r="3" spans="2:21" x14ac:dyDescent="0.2">
      <c r="C3" t="s">
        <v>267</v>
      </c>
      <c r="E3" s="535" t="s">
        <v>328</v>
      </c>
      <c r="F3" s="539"/>
      <c r="G3" s="535" t="s">
        <v>329</v>
      </c>
      <c r="H3" s="539"/>
      <c r="J3" s="53" t="s">
        <v>351</v>
      </c>
      <c r="K3" s="53" t="s">
        <v>350</v>
      </c>
      <c r="M3" s="53" t="s">
        <v>311</v>
      </c>
      <c r="N3" s="53" t="s">
        <v>312</v>
      </c>
      <c r="O3" s="53" t="s">
        <v>268</v>
      </c>
    </row>
    <row r="4" spans="2:21" ht="33" customHeight="1" x14ac:dyDescent="0.2"/>
    <row r="5" spans="2:21" x14ac:dyDescent="0.2">
      <c r="C5" s="3" t="s">
        <v>193</v>
      </c>
      <c r="E5" s="293">
        <v>45</v>
      </c>
      <c r="F5" s="398">
        <v>7.7460000000000004</v>
      </c>
      <c r="G5" s="293">
        <v>85</v>
      </c>
      <c r="H5" s="398">
        <v>36.593000000000004</v>
      </c>
      <c r="I5" s="1"/>
      <c r="J5" s="400">
        <f>E5+(F5/60)</f>
        <v>45.129100000000001</v>
      </c>
      <c r="K5" s="399">
        <f>-(G5+(H5/60))</f>
        <v>-85.609883333333329</v>
      </c>
      <c r="M5" s="401">
        <v>609316.13</v>
      </c>
      <c r="N5" s="401">
        <v>4998231.85223269</v>
      </c>
      <c r="O5" s="1" t="s">
        <v>348</v>
      </c>
    </row>
    <row r="6" spans="2:21" x14ac:dyDescent="0.2">
      <c r="C6" s="3" t="s">
        <v>269</v>
      </c>
      <c r="E6" s="293">
        <v>45</v>
      </c>
      <c r="F6" s="398">
        <v>7.7220000000000004</v>
      </c>
      <c r="G6" s="293">
        <v>85</v>
      </c>
      <c r="H6" s="398">
        <v>33.137999999999998</v>
      </c>
      <c r="I6" s="1"/>
      <c r="J6" s="400">
        <f t="shared" ref="J6:J15" si="0">E6+(F6/60)</f>
        <v>45.128700000000002</v>
      </c>
      <c r="K6" s="399">
        <f t="shared" ref="K6:K15" si="1">-(G6+(H6/60))</f>
        <v>-85.552300000000002</v>
      </c>
      <c r="M6" s="401">
        <v>613845.14</v>
      </c>
      <c r="N6" s="401">
        <v>4998266.9000000004</v>
      </c>
      <c r="O6" s="1" t="s">
        <v>348</v>
      </c>
    </row>
    <row r="7" spans="2:21" x14ac:dyDescent="0.2">
      <c r="C7" s="3" t="s">
        <v>197</v>
      </c>
      <c r="E7" s="293">
        <v>45</v>
      </c>
      <c r="F7" s="398">
        <v>7.69</v>
      </c>
      <c r="G7" s="293">
        <v>85</v>
      </c>
      <c r="H7" s="398">
        <v>33.987000000000002</v>
      </c>
      <c r="I7" s="1"/>
      <c r="J7" s="400">
        <f t="shared" si="0"/>
        <v>45.128166666666665</v>
      </c>
      <c r="K7" s="399">
        <f t="shared" si="1"/>
        <v>-85.566450000000003</v>
      </c>
      <c r="M7" s="401">
        <v>612733.46</v>
      </c>
      <c r="N7" s="401">
        <v>4998187.8600000003</v>
      </c>
      <c r="O7" s="1" t="s">
        <v>348</v>
      </c>
    </row>
    <row r="8" spans="2:21" x14ac:dyDescent="0.2">
      <c r="C8" s="3" t="s">
        <v>195</v>
      </c>
      <c r="E8" s="293">
        <v>45</v>
      </c>
      <c r="F8" s="398">
        <v>7.6840000000000002</v>
      </c>
      <c r="G8" s="293">
        <v>85</v>
      </c>
      <c r="H8" s="398">
        <v>35.152999999999999</v>
      </c>
      <c r="I8" s="1"/>
      <c r="J8" s="400">
        <f t="shared" si="0"/>
        <v>45.128066666666669</v>
      </c>
      <c r="K8" s="399">
        <f t="shared" si="1"/>
        <v>-85.585883333333328</v>
      </c>
      <c r="M8" s="401">
        <v>611205.44999999995</v>
      </c>
      <c r="N8" s="401">
        <v>4998149.83</v>
      </c>
      <c r="O8" s="1" t="s">
        <v>348</v>
      </c>
    </row>
    <row r="9" spans="2:21" x14ac:dyDescent="0.2">
      <c r="C9" s="3" t="s">
        <v>342</v>
      </c>
      <c r="E9" s="293">
        <v>45</v>
      </c>
      <c r="F9" s="398">
        <v>6.452</v>
      </c>
      <c r="G9" s="293">
        <v>85</v>
      </c>
      <c r="H9" s="398">
        <v>35.628999999999998</v>
      </c>
      <c r="I9" s="1"/>
      <c r="J9" s="400">
        <f t="shared" si="0"/>
        <v>45.107533333333336</v>
      </c>
      <c r="K9" s="399">
        <f t="shared" si="1"/>
        <v>-85.593816666666669</v>
      </c>
      <c r="M9" s="401">
        <v>610621.19999999995</v>
      </c>
      <c r="N9" s="401">
        <v>4995857.83</v>
      </c>
      <c r="O9" s="1" t="s">
        <v>348</v>
      </c>
    </row>
    <row r="10" spans="2:21" x14ac:dyDescent="0.2">
      <c r="C10" s="3" t="s">
        <v>343</v>
      </c>
      <c r="E10" s="293">
        <v>45</v>
      </c>
      <c r="F10" s="398">
        <v>6.2889999999999997</v>
      </c>
      <c r="G10" s="293">
        <v>85</v>
      </c>
      <c r="H10" s="398">
        <v>34.033000000000001</v>
      </c>
      <c r="I10" s="1"/>
      <c r="J10" s="400">
        <f t="shared" si="0"/>
        <v>45.104816666666665</v>
      </c>
      <c r="K10" s="399">
        <f t="shared" si="1"/>
        <v>-85.567216666666667</v>
      </c>
      <c r="M10" s="401">
        <v>612719.11</v>
      </c>
      <c r="N10" s="401">
        <v>4995592.8499999996</v>
      </c>
      <c r="O10" s="1" t="s">
        <v>348</v>
      </c>
    </row>
    <row r="11" spans="2:21" x14ac:dyDescent="0.2">
      <c r="C11" s="3" t="s">
        <v>270</v>
      </c>
      <c r="E11" s="293">
        <v>45</v>
      </c>
      <c r="F11" s="398">
        <v>5.8739999999999997</v>
      </c>
      <c r="G11" s="293">
        <v>85</v>
      </c>
      <c r="H11" s="398">
        <v>33.776000000000003</v>
      </c>
      <c r="I11" s="1"/>
      <c r="J11" s="400">
        <f t="shared" si="0"/>
        <v>45.097900000000003</v>
      </c>
      <c r="K11" s="399">
        <f t="shared" si="1"/>
        <v>-85.562933333333334</v>
      </c>
      <c r="M11" s="401">
        <v>613069.79</v>
      </c>
      <c r="N11" s="401">
        <v>4994830.4296763102</v>
      </c>
      <c r="O11" s="1" t="s">
        <v>348</v>
      </c>
    </row>
    <row r="12" spans="2:21" x14ac:dyDescent="0.2">
      <c r="C12" s="3" t="s">
        <v>271</v>
      </c>
      <c r="E12" s="293">
        <v>45</v>
      </c>
      <c r="F12" s="398">
        <v>5.5190000000000001</v>
      </c>
      <c r="G12" s="293">
        <v>85</v>
      </c>
      <c r="H12" s="398">
        <v>34.087000000000003</v>
      </c>
      <c r="I12" s="1"/>
      <c r="J12" s="400">
        <f t="shared" si="0"/>
        <v>45.091983333333332</v>
      </c>
      <c r="K12" s="399">
        <f t="shared" si="1"/>
        <v>-85.568116666666668</v>
      </c>
      <c r="M12" s="401">
        <v>612673.55000000005</v>
      </c>
      <c r="N12" s="401">
        <v>4994165.88</v>
      </c>
      <c r="O12" s="1" t="s">
        <v>348</v>
      </c>
    </row>
    <row r="13" spans="2:21" x14ac:dyDescent="0.2">
      <c r="C13" s="3" t="s">
        <v>345</v>
      </c>
      <c r="E13" s="293">
        <v>45</v>
      </c>
      <c r="F13" s="398">
        <v>6.8730000000000002</v>
      </c>
      <c r="G13" s="293">
        <v>85</v>
      </c>
      <c r="H13" s="398">
        <v>33.865000000000002</v>
      </c>
      <c r="I13" s="1"/>
      <c r="J13" s="400">
        <f t="shared" si="0"/>
        <v>45.114550000000001</v>
      </c>
      <c r="K13" s="399">
        <f t="shared" si="1"/>
        <v>-85.564416666666673</v>
      </c>
      <c r="M13" s="401">
        <v>612920.18999999994</v>
      </c>
      <c r="N13" s="401">
        <v>4996677.99</v>
      </c>
      <c r="O13" s="1" t="s">
        <v>348</v>
      </c>
    </row>
    <row r="14" spans="2:21" x14ac:dyDescent="0.2">
      <c r="C14" s="3" t="s">
        <v>344</v>
      </c>
      <c r="E14" s="293">
        <v>45</v>
      </c>
      <c r="F14" s="398">
        <v>1.095</v>
      </c>
      <c r="G14" s="293">
        <v>85</v>
      </c>
      <c r="H14" s="398">
        <v>30.36</v>
      </c>
      <c r="I14" s="1"/>
      <c r="J14" s="400">
        <f t="shared" si="0"/>
        <v>45.018250000000002</v>
      </c>
      <c r="K14" s="399">
        <f t="shared" si="1"/>
        <v>-85.506</v>
      </c>
      <c r="M14" s="401">
        <v>617712.68000000005</v>
      </c>
      <c r="N14" s="401">
        <v>4986063.41</v>
      </c>
      <c r="O14" s="1" t="s">
        <v>348</v>
      </c>
    </row>
    <row r="15" spans="2:21" x14ac:dyDescent="0.2">
      <c r="C15" s="3" t="s">
        <v>272</v>
      </c>
      <c r="E15" s="293">
        <v>45</v>
      </c>
      <c r="F15" s="398">
        <v>8.1259999999999994</v>
      </c>
      <c r="G15" s="293">
        <v>85</v>
      </c>
      <c r="H15" s="398">
        <v>26.202999999999999</v>
      </c>
      <c r="I15" s="1"/>
      <c r="J15" s="400">
        <f t="shared" si="0"/>
        <v>45.135433333333332</v>
      </c>
      <c r="K15" s="399">
        <f t="shared" si="1"/>
        <v>-85.436716666666669</v>
      </c>
      <c r="M15" s="401">
        <v>622919.96</v>
      </c>
      <c r="N15" s="401">
        <v>4999184.16</v>
      </c>
      <c r="O15" s="1" t="s">
        <v>348</v>
      </c>
    </row>
    <row r="16" spans="2:21" x14ac:dyDescent="0.2">
      <c r="M16" s="90"/>
      <c r="N16" s="90"/>
      <c r="O16" s="90"/>
      <c r="P16" s="90"/>
      <c r="Q16" s="90"/>
      <c r="R16" s="90"/>
      <c r="S16" s="90"/>
      <c r="T16" s="90"/>
      <c r="U16" s="90"/>
    </row>
    <row r="17" spans="3:21" x14ac:dyDescent="0.2">
      <c r="C17" s="30" t="s">
        <v>349</v>
      </c>
      <c r="M17" s="90"/>
      <c r="N17" s="90"/>
      <c r="O17" s="90"/>
      <c r="P17" s="90"/>
      <c r="Q17" s="90"/>
      <c r="R17" s="90"/>
      <c r="S17" s="90"/>
      <c r="T17" s="90"/>
      <c r="U17" s="90"/>
    </row>
    <row r="18" spans="3:21" x14ac:dyDescent="0.2">
      <c r="M18" s="90"/>
      <c r="N18" s="90"/>
      <c r="O18" s="90"/>
      <c r="P18" s="90"/>
      <c r="Q18" s="90"/>
      <c r="R18" s="90"/>
      <c r="S18" s="90"/>
      <c r="T18" s="90"/>
      <c r="U18" s="90"/>
    </row>
    <row r="19" spans="3:21" ht="32" x14ac:dyDescent="0.2">
      <c r="D19" s="294" t="str">
        <f>C20</f>
        <v>Start/Finish</v>
      </c>
      <c r="E19" s="294" t="str">
        <f>C21</f>
        <v>Nun #2 (Bell Buoy)</v>
      </c>
      <c r="F19" s="294" t="str">
        <f>C22</f>
        <v>Nun #4</v>
      </c>
      <c r="G19" s="294" t="str">
        <f>C23</f>
        <v>Nun #6</v>
      </c>
      <c r="H19" s="294" t="str">
        <f>C24</f>
        <v>Timber Shores Mark</v>
      </c>
      <c r="I19" s="294" t="str">
        <f>C10</f>
        <v>Gull Island North Mark</v>
      </c>
      <c r="J19" s="294" t="str">
        <f>C26</f>
        <v>Gull Island Offset Mark</v>
      </c>
      <c r="K19" s="294" t="str">
        <f>C27</f>
        <v>Gull Island South Mark</v>
      </c>
      <c r="L19" s="294" t="str">
        <f>C28</f>
        <v>Shallows Midway Mark</v>
      </c>
      <c r="M19" s="294" t="str">
        <f>C14</f>
        <v>Mission Point Light</v>
      </c>
      <c r="N19" s="294" t="str">
        <f>C30</f>
        <v>Eastport Can #3</v>
      </c>
      <c r="O19" s="90"/>
      <c r="P19" s="90"/>
      <c r="Q19" s="90"/>
      <c r="R19" s="90"/>
      <c r="S19" s="90"/>
      <c r="T19" s="90"/>
      <c r="U19" s="90"/>
    </row>
    <row r="20" spans="3:21" x14ac:dyDescent="0.2">
      <c r="C20" s="3" t="str">
        <f t="shared" ref="C20:C30" si="2">C5</f>
        <v>Start/Finish</v>
      </c>
      <c r="D20" s="91"/>
      <c r="E20" s="91"/>
      <c r="F20" s="91"/>
      <c r="G20" s="91"/>
      <c r="H20" s="91"/>
      <c r="I20" s="91"/>
      <c r="J20" s="91"/>
      <c r="K20" s="91"/>
      <c r="L20" s="91"/>
      <c r="M20" s="91"/>
      <c r="N20" s="91"/>
      <c r="O20" s="90"/>
      <c r="P20" s="90"/>
      <c r="Q20" s="90"/>
      <c r="R20" s="90"/>
      <c r="S20" s="90"/>
      <c r="T20" s="90"/>
      <c r="U20" s="90"/>
    </row>
    <row r="21" spans="3:21" x14ac:dyDescent="0.2">
      <c r="C21" s="3" t="str">
        <f t="shared" si="2"/>
        <v>Nun #2 (Bell Buoy)</v>
      </c>
      <c r="D21" s="90">
        <f>CONVERT(SQRT(($M6-$M$5)^2+($N6-$N$5)^2),"m","Nmi")</f>
        <v>2.445542984143716</v>
      </c>
      <c r="E21" s="91"/>
      <c r="F21" s="91"/>
      <c r="G21" s="91"/>
      <c r="H21" s="91"/>
      <c r="I21" s="91"/>
      <c r="J21" s="91"/>
      <c r="K21" s="91"/>
      <c r="L21" s="91"/>
      <c r="M21" s="91"/>
      <c r="N21" s="91"/>
      <c r="O21" s="90"/>
      <c r="P21" s="90"/>
      <c r="Q21" s="90"/>
      <c r="R21" s="90"/>
      <c r="S21" s="90"/>
      <c r="T21" s="90"/>
      <c r="U21" s="90"/>
    </row>
    <row r="22" spans="3:21" x14ac:dyDescent="0.2">
      <c r="C22" s="3" t="str">
        <f t="shared" si="2"/>
        <v>Nun #4</v>
      </c>
      <c r="D22" s="90">
        <f t="shared" ref="D22:D30" si="3">CONVERT(SQRT(($M7-$M$5)^2+($N7-$N$5)^2),"m","Nmi")</f>
        <v>1.8453634721105581</v>
      </c>
      <c r="E22" s="90">
        <f t="shared" ref="E22:E30" si="4">CONVERT(SQRT(($M7-$M$6)^2+($N7-$N$6)^2),"m","Nmi")</f>
        <v>0.60177446758001785</v>
      </c>
      <c r="F22" s="91"/>
      <c r="G22" s="91"/>
      <c r="H22" s="91"/>
      <c r="I22" s="91"/>
      <c r="J22" s="91"/>
      <c r="K22" s="91"/>
      <c r="L22" s="91"/>
      <c r="M22" s="91"/>
      <c r="N22" s="91"/>
      <c r="O22" s="90"/>
      <c r="P22" s="90"/>
      <c r="Q22" s="90"/>
      <c r="R22" s="90"/>
      <c r="S22" s="90"/>
      <c r="T22" s="90"/>
      <c r="U22" s="90"/>
    </row>
    <row r="23" spans="3:21" x14ac:dyDescent="0.2">
      <c r="C23" s="3" t="str">
        <f t="shared" si="2"/>
        <v>Nun #6</v>
      </c>
      <c r="D23" s="90">
        <f t="shared" si="3"/>
        <v>1.0211120967362812</v>
      </c>
      <c r="E23" s="90">
        <f t="shared" si="4"/>
        <v>1.4267196254800631</v>
      </c>
      <c r="F23" s="90">
        <f t="shared" ref="F23:F30" si="5">CONVERT(SQRT(($M8-$M$7)^2+($N8-$N$7)^2),"m","Nmi")</f>
        <v>0.82531489367906818</v>
      </c>
      <c r="G23" s="91"/>
      <c r="H23" s="91"/>
      <c r="I23" s="91"/>
      <c r="J23" s="91"/>
      <c r="K23" s="91"/>
      <c r="L23" s="91"/>
      <c r="M23" s="91"/>
      <c r="N23" s="91"/>
      <c r="O23" s="90"/>
      <c r="P23" s="90"/>
      <c r="Q23" s="90"/>
      <c r="R23" s="90"/>
      <c r="S23" s="90"/>
      <c r="T23" s="90"/>
      <c r="U23" s="90"/>
    </row>
    <row r="24" spans="3:21" x14ac:dyDescent="0.2">
      <c r="C24" s="3" t="str">
        <f t="shared" si="2"/>
        <v>Timber Shores Mark</v>
      </c>
      <c r="D24" s="90">
        <f t="shared" si="3"/>
        <v>1.4627936333936118</v>
      </c>
      <c r="E24" s="90">
        <f t="shared" si="4"/>
        <v>2.1731103006803618</v>
      </c>
      <c r="F24" s="90">
        <f t="shared" si="5"/>
        <v>1.6981347115419805</v>
      </c>
      <c r="G24" s="90">
        <f t="shared" ref="G24:G30" si="6">CONVERT(SQRT(($M9-$M$8)^2+($N9-$N$8)^2),"m","Nmi")</f>
        <v>1.2771561715483106</v>
      </c>
      <c r="H24" s="91"/>
      <c r="I24" s="91"/>
      <c r="J24" s="91"/>
      <c r="K24" s="91"/>
      <c r="L24" s="91"/>
      <c r="M24" s="91"/>
      <c r="N24" s="91"/>
      <c r="O24" s="90"/>
      <c r="P24" s="90"/>
      <c r="Q24" s="90"/>
      <c r="R24" s="90"/>
      <c r="S24" s="90"/>
      <c r="T24" s="90"/>
      <c r="U24" s="90"/>
    </row>
    <row r="25" spans="3:21" x14ac:dyDescent="0.2">
      <c r="C25" s="3" t="str">
        <f t="shared" si="2"/>
        <v>Gull Island North Mark</v>
      </c>
      <c r="D25" s="90">
        <f t="shared" si="3"/>
        <v>2.3252401808145038</v>
      </c>
      <c r="E25" s="90">
        <f t="shared" si="4"/>
        <v>1.5666646331390073</v>
      </c>
      <c r="F25" s="90">
        <f t="shared" si="5"/>
        <v>1.4012147280382126</v>
      </c>
      <c r="G25" s="90">
        <f t="shared" si="6"/>
        <v>1.6044363097149743</v>
      </c>
      <c r="H25" s="90">
        <f t="shared" ref="H25:H30" si="7">CONVERT(SQRT(($M10-$M$9)^2+($N10-$N$9)^2),"m","Nmi")</f>
        <v>1.1417808605795985</v>
      </c>
      <c r="I25" s="91"/>
      <c r="J25" s="91"/>
      <c r="K25" s="91"/>
      <c r="L25" s="91"/>
      <c r="M25" s="91"/>
      <c r="N25" s="91"/>
      <c r="O25" s="90"/>
      <c r="P25" s="90"/>
      <c r="Q25" s="90"/>
      <c r="R25" s="90"/>
      <c r="S25" s="90"/>
      <c r="T25" s="90"/>
      <c r="U25" s="90"/>
    </row>
    <row r="26" spans="3:21" x14ac:dyDescent="0.2">
      <c r="C26" s="3" t="str">
        <f t="shared" si="2"/>
        <v>Gull Island Offset Mark</v>
      </c>
      <c r="D26" s="90">
        <f t="shared" si="3"/>
        <v>2.7351697648209079</v>
      </c>
      <c r="E26" s="90">
        <f t="shared" si="4"/>
        <v>1.9021886478951995</v>
      </c>
      <c r="F26" s="90">
        <f t="shared" si="5"/>
        <v>1.8219406976115358</v>
      </c>
      <c r="G26" s="90">
        <f t="shared" si="6"/>
        <v>2.0556817248587089</v>
      </c>
      <c r="H26" s="90">
        <f t="shared" si="7"/>
        <v>1.433800813284035</v>
      </c>
      <c r="I26" s="90">
        <f>CONVERT(SQRT(($M11-$M$10)^2+($N11-$N$10)^2),"m","Nmi")</f>
        <v>0.4531332204329151</v>
      </c>
      <c r="J26" s="91"/>
      <c r="K26" s="91"/>
      <c r="L26" s="91"/>
      <c r="M26" s="91"/>
      <c r="N26" s="91"/>
      <c r="O26" s="90"/>
      <c r="P26" s="90"/>
      <c r="Q26" s="90"/>
      <c r="R26" s="90"/>
      <c r="S26" s="90"/>
      <c r="T26" s="90"/>
      <c r="U26" s="90"/>
    </row>
    <row r="27" spans="3:21" x14ac:dyDescent="0.2">
      <c r="C27" s="3" t="str">
        <f t="shared" si="2"/>
        <v>Gull Island South Mark</v>
      </c>
      <c r="D27" s="90">
        <f t="shared" si="3"/>
        <v>2.8471855815689944</v>
      </c>
      <c r="E27" s="90">
        <f t="shared" si="4"/>
        <v>2.3029640754964311</v>
      </c>
      <c r="F27" s="90">
        <f t="shared" si="5"/>
        <v>2.1719363792660187</v>
      </c>
      <c r="G27" s="90">
        <f t="shared" si="6"/>
        <v>2.2925713330226256</v>
      </c>
      <c r="H27" s="90">
        <f t="shared" si="7"/>
        <v>1.4362074839169892</v>
      </c>
      <c r="I27" s="90">
        <f>CONVERT(SQRT(($M12-$M$10)^2+($N12-$N$10)^2),"m","Nmi")</f>
        <v>0.77089477852108268</v>
      </c>
      <c r="J27" s="90">
        <f>CONVERT(SQRT(($M12-$M$11)^2+($N12-$N$11)^2),"m","Nmi")</f>
        <v>0.41777180886184695</v>
      </c>
      <c r="K27" s="91"/>
      <c r="L27" s="91"/>
      <c r="M27" s="91"/>
      <c r="N27" s="91"/>
      <c r="O27" s="90"/>
      <c r="P27" s="90"/>
      <c r="Q27" s="90"/>
      <c r="R27" s="90"/>
      <c r="S27" s="90"/>
      <c r="T27" s="90"/>
      <c r="U27" s="90"/>
    </row>
    <row r="28" spans="3:21" x14ac:dyDescent="0.2">
      <c r="C28" s="3" t="str">
        <f t="shared" si="2"/>
        <v>Shallows Midway Mark</v>
      </c>
      <c r="D28" s="90">
        <f t="shared" si="3"/>
        <v>2.1192005381607877</v>
      </c>
      <c r="E28" s="90">
        <f t="shared" si="4"/>
        <v>0.9927231004098207</v>
      </c>
      <c r="F28" s="90">
        <f t="shared" si="5"/>
        <v>0.82147564953568109</v>
      </c>
      <c r="G28" s="90">
        <f t="shared" si="6"/>
        <v>1.2201884364035853</v>
      </c>
      <c r="H28" s="90">
        <f t="shared" si="7"/>
        <v>1.3179832864106988</v>
      </c>
      <c r="I28" s="90">
        <f>CONVERT(SQRT(($M13-$M$10)^2+($N13-$N$10)^2),"m","Nmi")</f>
        <v>0.59590342900662552</v>
      </c>
      <c r="J28" s="90">
        <f>CONVERT(SQRT(($M13-$M$11)^2+($N13-$N$11)^2),"m","Nmi")</f>
        <v>1.0008677687303553</v>
      </c>
      <c r="K28" s="90">
        <f>CONVERT(SQRT(($M13-$M$12)^2+($N13-$N$12)^2),"m","Nmi")</f>
        <v>1.3629527920882456</v>
      </c>
      <c r="L28" s="91"/>
      <c r="M28" s="91"/>
      <c r="N28" s="91"/>
      <c r="O28" s="90"/>
      <c r="P28" s="90"/>
      <c r="Q28" s="90"/>
      <c r="R28" s="90"/>
      <c r="S28" s="90"/>
      <c r="T28" s="90"/>
      <c r="U28" s="90"/>
    </row>
    <row r="29" spans="3:21" x14ac:dyDescent="0.2">
      <c r="C29" s="3" t="str">
        <f t="shared" si="2"/>
        <v>Mission Point Light</v>
      </c>
      <c r="D29" s="90">
        <f t="shared" si="3"/>
        <v>7.9828379314800371</v>
      </c>
      <c r="E29" s="90">
        <f t="shared" si="4"/>
        <v>6.9123546969130789</v>
      </c>
      <c r="F29" s="90">
        <f t="shared" si="5"/>
        <v>7.0772441145194156</v>
      </c>
      <c r="G29" s="90">
        <f t="shared" si="6"/>
        <v>7.411889915228782</v>
      </c>
      <c r="H29" s="90">
        <f t="shared" si="7"/>
        <v>6.5292310721366285</v>
      </c>
      <c r="I29" s="90">
        <f>CONVERT(SQRT(($M14-$M$10)^2+($N14-$N$10)^2),"m","Nmi")</f>
        <v>5.8091414761503524</v>
      </c>
      <c r="J29" s="90">
        <f>CONVERT(SQRT(($M14-$M$11)^2+($N14-$N$11)^2),"m","Nmi")</f>
        <v>5.3566616427137603</v>
      </c>
      <c r="K29" s="90">
        <f>CONVERT(SQRT(($M14-$M$12)^2+($N14-$N$12)^2),"m","Nmi")</f>
        <v>5.1520722278685156</v>
      </c>
      <c r="L29" s="90">
        <f>CONVERT(SQRT(($M14-$M$13)^2+($N14-$N$13)^2),"m","Nmi")</f>
        <v>6.2885212968106332</v>
      </c>
      <c r="M29" s="91"/>
      <c r="N29" s="91"/>
      <c r="O29" s="90"/>
      <c r="P29" s="90"/>
      <c r="Q29" s="90"/>
      <c r="R29" s="90"/>
      <c r="S29" s="90"/>
      <c r="T29" s="90"/>
      <c r="U29" s="90"/>
    </row>
    <row r="30" spans="3:21" x14ac:dyDescent="0.2">
      <c r="C30" s="3" t="str">
        <f t="shared" si="2"/>
        <v>Eastport Can #3</v>
      </c>
      <c r="D30" s="90">
        <f t="shared" si="3"/>
        <v>7.363456492829787</v>
      </c>
      <c r="E30" s="90">
        <f t="shared" si="4"/>
        <v>4.9249780588595673</v>
      </c>
      <c r="F30" s="90">
        <f t="shared" si="5"/>
        <v>5.526515148037114</v>
      </c>
      <c r="G30" s="90">
        <f t="shared" si="6"/>
        <v>6.3499375349385891</v>
      </c>
      <c r="H30" s="90">
        <f t="shared" si="7"/>
        <v>6.8793965451626997</v>
      </c>
      <c r="I30" s="90">
        <f>CONVERT(SQRT(($M15-$M$10)^2+($N15-$N$10)^2),"m","Nmi")</f>
        <v>5.8393987495036592</v>
      </c>
      <c r="J30" s="90">
        <f>CONVERT(SQRT(($M15-$M$11)^2+($N15-$N$11)^2),"m","Nmi")</f>
        <v>5.8150318671178685</v>
      </c>
      <c r="K30" s="90">
        <f>CONVERT(SQRT(($M15-$M$12)^2+($N15-$N$12)^2),"m","Nmi")</f>
        <v>6.1605273961097291</v>
      </c>
      <c r="L30" s="90">
        <f>CONVERT(SQRT(($M15-$M$13)^2+($N15-$N$13)^2),"m","Nmi")</f>
        <v>5.5664358241846266</v>
      </c>
      <c r="M30" s="90">
        <f>CONVERT(SQRT(($M15-$M$14)^2+($N15-$N$14)^2),"m","Nmi")</f>
        <v>7.6221906921291831</v>
      </c>
      <c r="N30" s="91"/>
      <c r="O30" s="90"/>
      <c r="P30" s="90"/>
      <c r="Q30" s="90"/>
      <c r="R30" s="90"/>
      <c r="S30" s="90"/>
      <c r="T30" s="90"/>
      <c r="U30" s="90"/>
    </row>
    <row r="31" spans="3:21" x14ac:dyDescent="0.2">
      <c r="M31" s="90"/>
      <c r="N31" s="90"/>
      <c r="O31" s="90"/>
      <c r="P31" s="90"/>
      <c r="Q31" s="90"/>
      <c r="R31" s="90"/>
      <c r="S31" s="90"/>
      <c r="T31" s="90"/>
      <c r="U31" s="90"/>
    </row>
    <row r="32" spans="3:21" x14ac:dyDescent="0.2">
      <c r="M32" s="90"/>
      <c r="N32" s="90"/>
      <c r="O32" s="90"/>
      <c r="P32" s="90"/>
      <c r="Q32" s="90"/>
      <c r="R32" s="90"/>
      <c r="S32" s="90"/>
      <c r="T32" s="90"/>
      <c r="U32" s="90"/>
    </row>
    <row r="33" spans="2:30" x14ac:dyDescent="0.2">
      <c r="M33" s="90"/>
      <c r="N33" s="90"/>
      <c r="O33" s="90"/>
      <c r="P33" s="90"/>
      <c r="Q33" s="90"/>
      <c r="R33" s="90"/>
      <c r="S33" s="90"/>
      <c r="T33" s="90"/>
      <c r="U33" s="90"/>
    </row>
    <row r="34" spans="2:30" x14ac:dyDescent="0.2">
      <c r="M34" s="90"/>
      <c r="N34" s="90"/>
      <c r="O34" s="90"/>
      <c r="P34" s="90"/>
      <c r="Q34" s="90"/>
      <c r="R34" s="90"/>
      <c r="S34" s="90"/>
      <c r="T34" s="90"/>
      <c r="U34" s="90"/>
    </row>
    <row r="35" spans="2:30" x14ac:dyDescent="0.2">
      <c r="B35" s="53"/>
      <c r="C35" s="1" t="s">
        <v>313</v>
      </c>
      <c r="H35" s="1" t="s">
        <v>314</v>
      </c>
    </row>
    <row r="36" spans="2:30" x14ac:dyDescent="0.2">
      <c r="B36" s="53">
        <v>1</v>
      </c>
      <c r="C36" s="236" t="s">
        <v>214</v>
      </c>
      <c r="D36" s="237"/>
      <c r="E36" s="238" t="s">
        <v>285</v>
      </c>
      <c r="G36" s="53">
        <v>2</v>
      </c>
      <c r="H36" s="217" t="s">
        <v>214</v>
      </c>
      <c r="I36" s="218"/>
      <c r="J36" s="219" t="s">
        <v>285</v>
      </c>
    </row>
    <row r="37" spans="2:30" x14ac:dyDescent="0.2">
      <c r="B37" s="53"/>
      <c r="C37" s="239" t="s">
        <v>273</v>
      </c>
      <c r="D37" s="202"/>
      <c r="E37" s="240">
        <f>D21</f>
        <v>2.445542984143716</v>
      </c>
      <c r="H37" s="220" t="s">
        <v>273</v>
      </c>
      <c r="J37" s="221">
        <f>E40</f>
        <v>2.8471855815689944</v>
      </c>
    </row>
    <row r="38" spans="2:30" x14ac:dyDescent="0.2">
      <c r="B38" s="53"/>
      <c r="C38" s="239" t="s">
        <v>199</v>
      </c>
      <c r="D38" s="202"/>
      <c r="E38" s="240">
        <f>E26</f>
        <v>1.9021886478951995</v>
      </c>
      <c r="H38" s="220" t="s">
        <v>271</v>
      </c>
      <c r="J38" s="221">
        <f>E39</f>
        <v>0.41777180886184695</v>
      </c>
    </row>
    <row r="39" spans="2:30" x14ac:dyDescent="0.2">
      <c r="B39" s="53"/>
      <c r="C39" s="239" t="s">
        <v>270</v>
      </c>
      <c r="D39" s="202"/>
      <c r="E39" s="240">
        <f>J27</f>
        <v>0.41777180886184695</v>
      </c>
      <c r="H39" s="220" t="s">
        <v>270</v>
      </c>
      <c r="J39" s="221">
        <f>E38</f>
        <v>1.9021886478951995</v>
      </c>
    </row>
    <row r="40" spans="2:30" x14ac:dyDescent="0.2">
      <c r="B40" s="53"/>
      <c r="C40" s="239" t="s">
        <v>271</v>
      </c>
      <c r="D40" s="202"/>
      <c r="E40" s="240">
        <f>D27</f>
        <v>2.8471855815689944</v>
      </c>
      <c r="H40" s="220" t="s">
        <v>199</v>
      </c>
      <c r="J40" s="221">
        <f>E37</f>
        <v>2.445542984143716</v>
      </c>
    </row>
    <row r="41" spans="2:30" x14ac:dyDescent="0.2">
      <c r="B41" s="53"/>
      <c r="C41" s="239" t="s">
        <v>193</v>
      </c>
      <c r="D41" s="202"/>
      <c r="E41" s="241"/>
      <c r="H41" s="220" t="s">
        <v>193</v>
      </c>
      <c r="J41" s="222"/>
    </row>
    <row r="42" spans="2:30" x14ac:dyDescent="0.2">
      <c r="B42" s="53"/>
      <c r="C42" s="242" t="s">
        <v>286</v>
      </c>
      <c r="D42" s="244"/>
      <c r="E42" s="243">
        <f>SUM(E37:E40)</f>
        <v>7.6126890224697563</v>
      </c>
      <c r="H42" s="223" t="s">
        <v>286</v>
      </c>
      <c r="I42" s="224"/>
      <c r="J42" s="226">
        <f>SUM(J37:J40)</f>
        <v>7.6126890224697572</v>
      </c>
    </row>
    <row r="44" spans="2:30" x14ac:dyDescent="0.2">
      <c r="B44" s="53" t="s">
        <v>315</v>
      </c>
      <c r="C44" s="217" t="s">
        <v>214</v>
      </c>
      <c r="D44" s="218"/>
      <c r="E44" s="219" t="s">
        <v>285</v>
      </c>
      <c r="G44" s="53" t="s">
        <v>316</v>
      </c>
      <c r="H44" s="217" t="s">
        <v>214</v>
      </c>
      <c r="I44" s="218"/>
      <c r="J44" s="219" t="s">
        <v>285</v>
      </c>
      <c r="L44" s="53" t="s">
        <v>317</v>
      </c>
      <c r="M44" s="217" t="s">
        <v>214</v>
      </c>
      <c r="N44" s="218"/>
      <c r="O44" s="219" t="s">
        <v>285</v>
      </c>
      <c r="Q44" s="53" t="s">
        <v>318</v>
      </c>
      <c r="R44" s="217" t="s">
        <v>214</v>
      </c>
      <c r="S44" s="218"/>
      <c r="T44" s="219" t="s">
        <v>285</v>
      </c>
      <c r="V44" s="53" t="s">
        <v>319</v>
      </c>
      <c r="W44" s="217" t="s">
        <v>214</v>
      </c>
      <c r="X44" s="218"/>
      <c r="Y44" s="219" t="s">
        <v>285</v>
      </c>
      <c r="AA44" s="53" t="s">
        <v>320</v>
      </c>
      <c r="AB44" s="217" t="s">
        <v>214</v>
      </c>
      <c r="AC44" s="218"/>
      <c r="AD44" s="219" t="s">
        <v>285</v>
      </c>
    </row>
    <row r="45" spans="2:30" x14ac:dyDescent="0.2">
      <c r="B45" s="53"/>
      <c r="C45" s="220" t="s">
        <v>193</v>
      </c>
      <c r="E45" s="221">
        <f>D28</f>
        <v>2.1192005381607877</v>
      </c>
      <c r="G45" s="53"/>
      <c r="H45" s="220" t="s">
        <v>193</v>
      </c>
      <c r="J45" s="221">
        <f>D28</f>
        <v>2.1192005381607877</v>
      </c>
      <c r="L45" s="53"/>
      <c r="M45" s="220" t="s">
        <v>193</v>
      </c>
      <c r="O45" s="221">
        <f>D28</f>
        <v>2.1192005381607877</v>
      </c>
      <c r="Q45" s="53"/>
      <c r="R45" s="220" t="s">
        <v>193</v>
      </c>
      <c r="T45" s="221">
        <f>D28</f>
        <v>2.1192005381607877</v>
      </c>
      <c r="V45" s="53"/>
      <c r="W45" s="220" t="s">
        <v>193</v>
      </c>
      <c r="Y45" s="221">
        <f>D28</f>
        <v>2.1192005381607877</v>
      </c>
      <c r="AA45" s="53"/>
      <c r="AB45" s="220" t="s">
        <v>193</v>
      </c>
      <c r="AD45" s="221">
        <f>D28</f>
        <v>2.1192005381607877</v>
      </c>
    </row>
    <row r="46" spans="2:30" x14ac:dyDescent="0.2">
      <c r="B46" s="53"/>
      <c r="C46" s="220" t="str">
        <f>C13</f>
        <v>Shallows Midway Mark</v>
      </c>
      <c r="E46" s="221">
        <f>F28</f>
        <v>0.82147564953568109</v>
      </c>
      <c r="G46" s="53"/>
      <c r="H46" s="220" t="str">
        <f>C13</f>
        <v>Shallows Midway Mark</v>
      </c>
      <c r="J46" s="221">
        <f>E28</f>
        <v>0.9927231004098207</v>
      </c>
      <c r="L46" s="53"/>
      <c r="M46" s="220" t="str">
        <f>C13</f>
        <v>Shallows Midway Mark</v>
      </c>
      <c r="O46" s="221">
        <f>F28</f>
        <v>0.82147564953568109</v>
      </c>
      <c r="Q46" s="53"/>
      <c r="R46" s="220" t="str">
        <f>C13</f>
        <v>Shallows Midway Mark</v>
      </c>
      <c r="T46" s="221">
        <f>H28</f>
        <v>1.3179832864106988</v>
      </c>
      <c r="V46" s="53"/>
      <c r="W46" s="220" t="str">
        <f>C13</f>
        <v>Shallows Midway Mark</v>
      </c>
      <c r="Y46" s="221">
        <f>E28</f>
        <v>0.9927231004098207</v>
      </c>
      <c r="AA46" s="53"/>
      <c r="AB46" s="220" t="str">
        <f>C13</f>
        <v>Shallows Midway Mark</v>
      </c>
      <c r="AD46" s="221">
        <f>H28</f>
        <v>1.3179832864106988</v>
      </c>
    </row>
    <row r="47" spans="2:30" x14ac:dyDescent="0.2">
      <c r="B47" s="53"/>
      <c r="C47" s="220" t="str">
        <f>C7</f>
        <v>Nun #4</v>
      </c>
      <c r="E47" s="221">
        <f>D22</f>
        <v>1.8453634721105581</v>
      </c>
      <c r="G47" s="53"/>
      <c r="H47" s="220" t="str">
        <f>C6</f>
        <v>Nun #2 (Bell Buoy)</v>
      </c>
      <c r="J47" s="221">
        <f>D21</f>
        <v>2.445542984143716</v>
      </c>
      <c r="L47" s="53"/>
      <c r="M47" s="228" t="str">
        <f>C7</f>
        <v>Nun #4</v>
      </c>
      <c r="O47" s="221">
        <f>F23</f>
        <v>0.82531489367906818</v>
      </c>
      <c r="Q47" s="53"/>
      <c r="R47" s="220" t="str">
        <f>C9</f>
        <v>Timber Shores Mark</v>
      </c>
      <c r="T47" s="221">
        <f>F24</f>
        <v>1.6981347115419805</v>
      </c>
      <c r="V47" s="53"/>
      <c r="W47" s="220" t="str">
        <f>C6</f>
        <v>Nun #2 (Bell Buoy)</v>
      </c>
      <c r="Y47" s="221">
        <f>E23</f>
        <v>1.4267196254800631</v>
      </c>
      <c r="AA47" s="53"/>
      <c r="AB47" s="220" t="str">
        <f>C9</f>
        <v>Timber Shores Mark</v>
      </c>
      <c r="AD47" s="221">
        <f>E24</f>
        <v>2.1731103006803618</v>
      </c>
    </row>
    <row r="48" spans="2:30" x14ac:dyDescent="0.2">
      <c r="B48" s="53"/>
      <c r="C48" s="220" t="s">
        <v>193</v>
      </c>
      <c r="E48" s="222"/>
      <c r="G48" s="53"/>
      <c r="H48" s="220" t="str">
        <f>C5</f>
        <v>Start/Finish</v>
      </c>
      <c r="J48" s="222"/>
      <c r="L48" s="53"/>
      <c r="M48" s="220" t="str">
        <f>C8</f>
        <v>Nun #6</v>
      </c>
      <c r="O48" s="221">
        <f>F23</f>
        <v>0.82531489367906818</v>
      </c>
      <c r="Q48" s="53"/>
      <c r="R48" s="220" t="str">
        <f>C7</f>
        <v>Nun #4</v>
      </c>
      <c r="T48" s="221">
        <f>D22</f>
        <v>1.8453634721105581</v>
      </c>
      <c r="V48" s="53"/>
      <c r="W48" s="220" t="str">
        <f>C8</f>
        <v>Nun #6</v>
      </c>
      <c r="Y48" s="221">
        <f>F23</f>
        <v>0.82531489367906818</v>
      </c>
      <c r="AA48" s="53"/>
      <c r="AB48" s="220" t="str">
        <f>C6</f>
        <v>Nun #2 (Bell Buoy)</v>
      </c>
      <c r="AD48" s="221">
        <f>D21</f>
        <v>2.445542984143716</v>
      </c>
    </row>
    <row r="49" spans="2:30" x14ac:dyDescent="0.2">
      <c r="B49" s="53"/>
      <c r="C49" s="223" t="s">
        <v>286</v>
      </c>
      <c r="D49" s="227"/>
      <c r="E49" s="226">
        <f>SUM(E45:E47)</f>
        <v>4.7860396598070274</v>
      </c>
      <c r="G49" s="53"/>
      <c r="H49" s="223" t="s">
        <v>286</v>
      </c>
      <c r="I49" s="227"/>
      <c r="J49" s="226">
        <f>SUM(J45:J47)</f>
        <v>5.5574666227143243</v>
      </c>
      <c r="L49" s="53"/>
      <c r="M49" s="220" t="str">
        <f>C7</f>
        <v>Nun #4</v>
      </c>
      <c r="O49" s="221">
        <f>D22</f>
        <v>1.8453634721105581</v>
      </c>
      <c r="Q49" s="53"/>
      <c r="R49" s="220" t="str">
        <f>C5</f>
        <v>Start/Finish</v>
      </c>
      <c r="T49" s="222"/>
      <c r="V49" s="53"/>
      <c r="W49" s="220" t="str">
        <f>C7</f>
        <v>Nun #4</v>
      </c>
      <c r="Y49" s="221">
        <f>D22</f>
        <v>1.8453634721105581</v>
      </c>
      <c r="AA49" s="53"/>
      <c r="AB49" s="220" t="str">
        <f>C5</f>
        <v>Start/Finish</v>
      </c>
      <c r="AD49" s="222"/>
    </row>
    <row r="50" spans="2:30" s="3" customFormat="1" x14ac:dyDescent="0.2">
      <c r="G50" s="53"/>
      <c r="I50"/>
      <c r="J50"/>
      <c r="L50" s="53"/>
      <c r="M50" s="220" t="str">
        <f>C5</f>
        <v>Start/Finish</v>
      </c>
      <c r="N50"/>
      <c r="O50" s="222"/>
      <c r="Q50" s="53"/>
      <c r="R50" s="223" t="s">
        <v>286</v>
      </c>
      <c r="S50" s="227"/>
      <c r="T50" s="226">
        <f>SUM(T45:T48)</f>
        <v>6.9806820082240257</v>
      </c>
      <c r="V50" s="53"/>
      <c r="W50" s="220" t="str">
        <f>C5</f>
        <v>Start/Finish</v>
      </c>
      <c r="X50"/>
      <c r="Y50" s="222"/>
      <c r="AA50" s="53"/>
      <c r="AB50" s="223" t="s">
        <v>286</v>
      </c>
      <c r="AC50" s="224"/>
      <c r="AD50" s="225">
        <f>D28+H28+E24+D21</f>
        <v>8.055837109395565</v>
      </c>
    </row>
    <row r="51" spans="2:30" x14ac:dyDescent="0.2">
      <c r="B51" s="53"/>
      <c r="C51" s="92"/>
      <c r="L51" s="53"/>
      <c r="M51" s="223" t="s">
        <v>286</v>
      </c>
      <c r="N51" s="227"/>
      <c r="O51" s="226">
        <f>SUM(O45:O49)</f>
        <v>6.4366694471651638</v>
      </c>
      <c r="V51" s="53"/>
      <c r="W51" s="223" t="s">
        <v>286</v>
      </c>
      <c r="X51" s="227"/>
      <c r="Y51" s="226">
        <f>SUM(Y45:Y49)</f>
        <v>7.2093216298402982</v>
      </c>
    </row>
    <row r="52" spans="2:30" x14ac:dyDescent="0.2">
      <c r="B52" s="53"/>
      <c r="G52" s="53"/>
      <c r="H52" s="33"/>
      <c r="J52" s="216"/>
      <c r="Q52" s="53"/>
      <c r="R52" s="92"/>
    </row>
    <row r="53" spans="2:30" x14ac:dyDescent="0.2">
      <c r="B53" s="53"/>
    </row>
    <row r="54" spans="2:30" x14ac:dyDescent="0.2">
      <c r="B54" s="53" t="s">
        <v>321</v>
      </c>
      <c r="C54" s="217" t="s">
        <v>214</v>
      </c>
      <c r="D54" s="218"/>
      <c r="E54" s="219" t="s">
        <v>285</v>
      </c>
      <c r="G54" s="53" t="s">
        <v>322</v>
      </c>
      <c r="H54" s="217" t="s">
        <v>214</v>
      </c>
      <c r="I54" s="218"/>
      <c r="J54" s="219" t="s">
        <v>285</v>
      </c>
      <c r="L54" s="53" t="s">
        <v>323</v>
      </c>
      <c r="M54" s="217" t="s">
        <v>214</v>
      </c>
      <c r="N54" s="218"/>
      <c r="O54" s="219" t="s">
        <v>285</v>
      </c>
      <c r="Q54" s="53" t="s">
        <v>324</v>
      </c>
      <c r="R54" s="217" t="s">
        <v>214</v>
      </c>
      <c r="S54" s="218"/>
      <c r="T54" s="219" t="s">
        <v>285</v>
      </c>
      <c r="V54" s="53" t="s">
        <v>325</v>
      </c>
      <c r="W54" s="217" t="s">
        <v>214</v>
      </c>
      <c r="X54" s="218"/>
      <c r="Y54" s="219" t="s">
        <v>285</v>
      </c>
      <c r="AA54" s="53" t="s">
        <v>339</v>
      </c>
      <c r="AB54" s="217" t="s">
        <v>214</v>
      </c>
      <c r="AC54" s="218"/>
      <c r="AD54" s="219" t="s">
        <v>285</v>
      </c>
    </row>
    <row r="55" spans="2:30" x14ac:dyDescent="0.2">
      <c r="B55" s="53"/>
      <c r="C55" s="220" t="s">
        <v>193</v>
      </c>
      <c r="E55" s="221">
        <f>D24</f>
        <v>1.4627936333936118</v>
      </c>
      <c r="G55" s="53"/>
      <c r="H55" s="220" t="s">
        <v>193</v>
      </c>
      <c r="J55" s="221">
        <f>D24</f>
        <v>1.4627936333936118</v>
      </c>
      <c r="L55" s="53"/>
      <c r="M55" s="220" t="s">
        <v>193</v>
      </c>
      <c r="O55" s="221">
        <f>D24</f>
        <v>1.4627936333936118</v>
      </c>
      <c r="Q55" s="53"/>
      <c r="R55" s="220" t="s">
        <v>193</v>
      </c>
      <c r="T55" s="221">
        <f>D24</f>
        <v>1.4627936333936118</v>
      </c>
      <c r="V55" s="53"/>
      <c r="W55" s="220" t="s">
        <v>193</v>
      </c>
      <c r="Y55" s="221">
        <f>O55</f>
        <v>1.4627936333936118</v>
      </c>
      <c r="AA55" s="53"/>
      <c r="AB55" s="220" t="s">
        <v>193</v>
      </c>
      <c r="AD55" s="221">
        <f>T55</f>
        <v>1.4627936333936118</v>
      </c>
    </row>
    <row r="56" spans="2:30" x14ac:dyDescent="0.2">
      <c r="B56" s="53"/>
      <c r="C56" s="220" t="s">
        <v>194</v>
      </c>
      <c r="E56" s="221">
        <f>H28</f>
        <v>1.3179832864106988</v>
      </c>
      <c r="G56" s="53"/>
      <c r="H56" s="220" t="str">
        <f>C9</f>
        <v>Timber Shores Mark</v>
      </c>
      <c r="J56" s="221">
        <f>F24</f>
        <v>1.6981347115419805</v>
      </c>
      <c r="L56" s="53"/>
      <c r="M56" s="220" t="s">
        <v>194</v>
      </c>
      <c r="O56" s="221">
        <f>F24</f>
        <v>1.6981347115419805</v>
      </c>
      <c r="Q56" s="53"/>
      <c r="R56" s="220" t="s">
        <v>194</v>
      </c>
      <c r="T56" s="221">
        <f>G24</f>
        <v>1.2771561715483106</v>
      </c>
      <c r="V56" s="53"/>
      <c r="W56" s="220" t="s">
        <v>194</v>
      </c>
      <c r="Y56" s="221">
        <f>O56</f>
        <v>1.6981347115419805</v>
      </c>
      <c r="AA56" s="53"/>
      <c r="AB56" s="220" t="s">
        <v>194</v>
      </c>
      <c r="AD56" s="221">
        <f>G24</f>
        <v>1.2771561715483106</v>
      </c>
    </row>
    <row r="57" spans="2:30" x14ac:dyDescent="0.2">
      <c r="B57" s="53"/>
      <c r="C57" s="220" t="str">
        <f>C28</f>
        <v>Shallows Midway Mark</v>
      </c>
      <c r="E57" s="221">
        <f>D28</f>
        <v>2.1192005381607877</v>
      </c>
      <c r="G57" s="53"/>
      <c r="H57" s="220" t="str">
        <f>C7</f>
        <v>Nun #4</v>
      </c>
      <c r="J57" s="221">
        <f>D22</f>
        <v>1.8453634721105581</v>
      </c>
      <c r="L57" s="53"/>
      <c r="M57" s="220" t="s">
        <v>197</v>
      </c>
      <c r="O57" s="221">
        <f>F28</f>
        <v>0.82147564953568109</v>
      </c>
      <c r="Q57" s="53"/>
      <c r="R57" s="220" t="str">
        <f>C8</f>
        <v>Nun #6</v>
      </c>
      <c r="T57" s="221">
        <f>G28</f>
        <v>1.2201884364035853</v>
      </c>
      <c r="V57" s="53"/>
      <c r="W57" s="220" t="s">
        <v>197</v>
      </c>
      <c r="Y57" s="221">
        <f>F26</f>
        <v>1.8219406976115358</v>
      </c>
      <c r="AA57" s="53"/>
      <c r="AB57" s="220" t="s">
        <v>195</v>
      </c>
      <c r="AD57" s="221">
        <f>D23</f>
        <v>1.0211120967362812</v>
      </c>
    </row>
    <row r="58" spans="2:30" x14ac:dyDescent="0.2">
      <c r="B58" s="53"/>
      <c r="C58" s="220" t="s">
        <v>193</v>
      </c>
      <c r="E58" s="222"/>
      <c r="H58" s="220" t="str">
        <f>C5</f>
        <v>Start/Finish</v>
      </c>
      <c r="J58" s="222"/>
      <c r="M58" s="220" t="s">
        <v>196</v>
      </c>
      <c r="O58" s="221">
        <f>D28</f>
        <v>2.1192005381607877</v>
      </c>
      <c r="Q58" s="53"/>
      <c r="R58" s="220" t="str">
        <f>C13</f>
        <v>Shallows Midway Mark</v>
      </c>
      <c r="T58" s="221">
        <f>F28</f>
        <v>0.82147564953568109</v>
      </c>
      <c r="W58" s="220" t="s">
        <v>293</v>
      </c>
      <c r="Y58" s="221">
        <f>J27</f>
        <v>0.41777180886184695</v>
      </c>
      <c r="AB58" s="220" t="s">
        <v>193</v>
      </c>
      <c r="AD58" s="222"/>
    </row>
    <row r="59" spans="2:30" x14ac:dyDescent="0.2">
      <c r="B59" s="53"/>
      <c r="C59" s="223" t="s">
        <v>286</v>
      </c>
      <c r="D59" s="227"/>
      <c r="E59" s="226">
        <f>SUM(E55:E57)</f>
        <v>4.8999774579650985</v>
      </c>
      <c r="H59" s="223" t="s">
        <v>286</v>
      </c>
      <c r="I59" s="227"/>
      <c r="J59" s="226">
        <f>SUM(J55:J57)</f>
        <v>5.0062918170461508</v>
      </c>
      <c r="M59" s="220" t="s">
        <v>193</v>
      </c>
      <c r="O59" s="222"/>
      <c r="Q59" s="53"/>
      <c r="R59" s="220" t="str">
        <f>C7</f>
        <v>Nun #4</v>
      </c>
      <c r="T59" s="221">
        <f>D22</f>
        <v>1.8453634721105581</v>
      </c>
      <c r="W59" s="220" t="s">
        <v>310</v>
      </c>
      <c r="Y59" s="221">
        <f>D27</f>
        <v>2.8471855815689944</v>
      </c>
      <c r="AB59" s="223" t="s">
        <v>286</v>
      </c>
      <c r="AC59" s="227"/>
      <c r="AD59" s="226">
        <f>SUM(AD55:AD58)</f>
        <v>3.7610619016782034</v>
      </c>
    </row>
    <row r="60" spans="2:30" x14ac:dyDescent="0.2">
      <c r="B60" s="53"/>
      <c r="C60" s="33"/>
      <c r="E60" s="216"/>
      <c r="M60" s="223" t="s">
        <v>286</v>
      </c>
      <c r="N60" s="227"/>
      <c r="O60" s="226">
        <f>SUM(O55:O59)</f>
        <v>6.1016045326320612</v>
      </c>
      <c r="Q60" s="53"/>
      <c r="R60" s="220" t="str">
        <f>C5</f>
        <v>Start/Finish</v>
      </c>
      <c r="T60" s="222"/>
      <c r="W60" s="220" t="s">
        <v>193</v>
      </c>
      <c r="Y60" s="222"/>
    </row>
    <row r="61" spans="2:30" x14ac:dyDescent="0.2">
      <c r="Q61" s="53"/>
      <c r="R61" s="223" t="s">
        <v>286</v>
      </c>
      <c r="S61" s="227"/>
      <c r="T61" s="226">
        <f>SUM(T55:T59)</f>
        <v>6.626977362991747</v>
      </c>
      <c r="W61" s="223" t="s">
        <v>286</v>
      </c>
      <c r="X61" s="227"/>
      <c r="Y61" s="226">
        <f>SUM(Y55:Y60)</f>
        <v>8.2478264329779698</v>
      </c>
    </row>
    <row r="62" spans="2:30" x14ac:dyDescent="0.2">
      <c r="B62" s="53"/>
      <c r="C62" s="92"/>
    </row>
    <row r="63" spans="2:30" x14ac:dyDescent="0.2">
      <c r="B63" s="53"/>
      <c r="C63" s="92"/>
    </row>
    <row r="64" spans="2:30" x14ac:dyDescent="0.2">
      <c r="B64" s="53" t="s">
        <v>326</v>
      </c>
      <c r="C64" s="217" t="s">
        <v>214</v>
      </c>
      <c r="D64" s="218"/>
      <c r="E64" s="219" t="s">
        <v>285</v>
      </c>
    </row>
    <row r="65" spans="2:15" x14ac:dyDescent="0.2">
      <c r="B65" s="53"/>
      <c r="C65" s="220" t="s">
        <v>193</v>
      </c>
      <c r="E65" s="221">
        <v>1.0149999999999999</v>
      </c>
      <c r="M65" s="402" t="s">
        <v>214</v>
      </c>
      <c r="N65" s="403"/>
      <c r="O65" s="404" t="s">
        <v>285</v>
      </c>
    </row>
    <row r="66" spans="2:15" x14ac:dyDescent="0.2">
      <c r="B66" s="53"/>
      <c r="C66" s="220" t="s">
        <v>195</v>
      </c>
      <c r="E66" s="221">
        <v>1.2605711941810835</v>
      </c>
      <c r="M66" s="405" t="str">
        <f>C5</f>
        <v>Start/Finish</v>
      </c>
      <c r="N66" s="406"/>
      <c r="O66" s="407">
        <f>D24</f>
        <v>1.4627936333936118</v>
      </c>
    </row>
    <row r="67" spans="2:15" x14ac:dyDescent="0.2">
      <c r="B67" s="53"/>
      <c r="C67" s="220" t="s">
        <v>194</v>
      </c>
      <c r="E67" s="221">
        <v>1.2644606579808384</v>
      </c>
      <c r="M67" s="405" t="str">
        <f>C24</f>
        <v>Timber Shores Mark</v>
      </c>
      <c r="N67" s="406"/>
      <c r="O67" s="407">
        <f>F24</f>
        <v>1.6981347115419805</v>
      </c>
    </row>
    <row r="68" spans="2:15" x14ac:dyDescent="0.2">
      <c r="B68" s="53"/>
      <c r="C68" s="220" t="s">
        <v>196</v>
      </c>
      <c r="E68" s="221">
        <v>2.1353165824246489</v>
      </c>
      <c r="M68" s="405" t="str">
        <f>C22</f>
        <v>Nun #4</v>
      </c>
      <c r="N68" s="406"/>
      <c r="O68" s="407">
        <f>F28</f>
        <v>0.82147564953568109</v>
      </c>
    </row>
    <row r="69" spans="2:15" x14ac:dyDescent="0.2">
      <c r="B69" s="53"/>
      <c r="C69" s="220" t="s">
        <v>193</v>
      </c>
      <c r="E69" s="222"/>
      <c r="M69" s="405" t="str">
        <f>C28</f>
        <v>Shallows Midway Mark</v>
      </c>
      <c r="N69" s="406"/>
      <c r="O69" s="407">
        <f>D28</f>
        <v>2.1192005381607877</v>
      </c>
    </row>
    <row r="70" spans="2:15" x14ac:dyDescent="0.2">
      <c r="B70" s="53"/>
      <c r="C70" s="223" t="s">
        <v>286</v>
      </c>
      <c r="D70" s="227"/>
      <c r="E70" s="226">
        <f>SUM(E65:E69)</f>
        <v>5.6753484345865708</v>
      </c>
      <c r="M70" s="405" t="s">
        <v>193</v>
      </c>
      <c r="N70" s="406"/>
      <c r="O70" s="408"/>
    </row>
    <row r="71" spans="2:15" x14ac:dyDescent="0.2">
      <c r="M71" s="409" t="s">
        <v>286</v>
      </c>
      <c r="N71" s="410"/>
      <c r="O71" s="411">
        <f>SUM(O66:O69)</f>
        <v>6.1016045326320612</v>
      </c>
    </row>
    <row r="72" spans="2:15" x14ac:dyDescent="0.2">
      <c r="B72" s="53"/>
    </row>
    <row r="73" spans="2:15" x14ac:dyDescent="0.2">
      <c r="B73" s="53" t="s">
        <v>327</v>
      </c>
      <c r="C73" s="217" t="s">
        <v>214</v>
      </c>
      <c r="D73" s="218"/>
      <c r="E73" s="219" t="s">
        <v>285</v>
      </c>
      <c r="H73" s="217" t="s">
        <v>214</v>
      </c>
      <c r="I73" s="218"/>
      <c r="J73" s="219" t="s">
        <v>285</v>
      </c>
      <c r="M73" s="236" t="s">
        <v>214</v>
      </c>
      <c r="N73" s="237"/>
      <c r="O73" s="238" t="s">
        <v>285</v>
      </c>
    </row>
    <row r="74" spans="2:15" x14ac:dyDescent="0.2">
      <c r="B74" s="53"/>
      <c r="C74" s="220" t="s">
        <v>193</v>
      </c>
      <c r="E74" s="221">
        <v>2.847</v>
      </c>
      <c r="H74" s="220" t="s">
        <v>193</v>
      </c>
      <c r="J74" s="221">
        <v>2.847</v>
      </c>
      <c r="M74" s="239" t="s">
        <v>333</v>
      </c>
      <c r="N74" s="202"/>
      <c r="O74" s="240">
        <f>D22</f>
        <v>1.8453634721105581</v>
      </c>
    </row>
    <row r="75" spans="2:15" x14ac:dyDescent="0.2">
      <c r="B75" s="53"/>
      <c r="C75" s="220" t="s">
        <v>295</v>
      </c>
      <c r="E75" s="221">
        <v>0.41799999999999998</v>
      </c>
      <c r="H75" s="220" t="s">
        <v>295</v>
      </c>
      <c r="J75" s="221">
        <f>F27</f>
        <v>2.1719363792660187</v>
      </c>
      <c r="M75" s="239" t="s">
        <v>197</v>
      </c>
      <c r="N75" s="202"/>
      <c r="O75" s="240">
        <f>F24</f>
        <v>1.6981347115419805</v>
      </c>
    </row>
    <row r="76" spans="2:15" x14ac:dyDescent="0.2">
      <c r="B76" s="53"/>
      <c r="C76" s="220" t="s">
        <v>270</v>
      </c>
      <c r="E76" s="221">
        <v>1.903</v>
      </c>
      <c r="H76" s="220" t="s">
        <v>197</v>
      </c>
      <c r="J76" s="221">
        <f>D22</f>
        <v>1.8453634721105581</v>
      </c>
      <c r="M76" s="239" t="s">
        <v>194</v>
      </c>
      <c r="N76" s="202"/>
      <c r="O76" s="240">
        <f>H28</f>
        <v>1.3179832864106988</v>
      </c>
    </row>
    <row r="77" spans="2:15" x14ac:dyDescent="0.2">
      <c r="B77" s="53"/>
      <c r="C77" s="220" t="s">
        <v>199</v>
      </c>
      <c r="E77" s="221">
        <v>2.0979999999999999</v>
      </c>
      <c r="H77" s="220" t="s">
        <v>193</v>
      </c>
      <c r="J77" s="222"/>
      <c r="M77" s="239" t="s">
        <v>353</v>
      </c>
      <c r="N77" s="202"/>
      <c r="O77" s="240">
        <f>D28</f>
        <v>2.1192005381607877</v>
      </c>
    </row>
    <row r="78" spans="2:15" x14ac:dyDescent="0.2">
      <c r="B78" s="53"/>
      <c r="C78" s="220" t="s">
        <v>194</v>
      </c>
      <c r="E78" s="221">
        <v>1.2609999999999999</v>
      </c>
      <c r="H78" s="223" t="s">
        <v>286</v>
      </c>
      <c r="I78" s="227"/>
      <c r="J78" s="226">
        <f>SUM(J74:J77)</f>
        <v>6.8642998513765772</v>
      </c>
      <c r="M78" s="239" t="s">
        <v>361</v>
      </c>
      <c r="N78" s="202"/>
      <c r="O78" s="241"/>
    </row>
    <row r="79" spans="2:15" x14ac:dyDescent="0.2">
      <c r="B79" s="53"/>
      <c r="C79" s="220" t="s">
        <v>301</v>
      </c>
      <c r="E79" s="221">
        <v>1.0149999999999999</v>
      </c>
      <c r="M79" s="242" t="s">
        <v>286</v>
      </c>
      <c r="N79" s="244"/>
      <c r="O79" s="243">
        <f>SUM(O74:O77)</f>
        <v>6.9806820082240257</v>
      </c>
    </row>
    <row r="80" spans="2:15" x14ac:dyDescent="0.2">
      <c r="B80" s="53"/>
      <c r="C80" s="220" t="s">
        <v>193</v>
      </c>
      <c r="E80" s="222"/>
    </row>
    <row r="81" spans="2:5" x14ac:dyDescent="0.2">
      <c r="B81" s="53"/>
      <c r="C81" s="223" t="s">
        <v>286</v>
      </c>
      <c r="D81" s="227"/>
      <c r="E81" s="226">
        <f>SUM(E74:E80)</f>
        <v>9.5419999999999998</v>
      </c>
    </row>
    <row r="92" spans="2:5" x14ac:dyDescent="0.2">
      <c r="B92" s="53"/>
    </row>
    <row r="100" spans="2:2" x14ac:dyDescent="0.2">
      <c r="B100" s="53"/>
    </row>
    <row r="130" spans="8:13" x14ac:dyDescent="0.2">
      <c r="H130" s="30"/>
      <c r="I130" s="30"/>
      <c r="J130" s="30"/>
    </row>
    <row r="131" spans="8:13" x14ac:dyDescent="0.2">
      <c r="H131" s="30"/>
      <c r="I131" s="30"/>
      <c r="J131" s="30"/>
    </row>
    <row r="132" spans="8:13" x14ac:dyDescent="0.2">
      <c r="H132" s="30"/>
      <c r="I132" s="30"/>
      <c r="J132" s="30"/>
    </row>
    <row r="133" spans="8:13" x14ac:dyDescent="0.2">
      <c r="H133" s="30"/>
      <c r="I133" s="30"/>
      <c r="J133" s="30"/>
      <c r="K133" s="1"/>
      <c r="L133" s="1"/>
      <c r="M133" s="1"/>
    </row>
    <row r="134" spans="8:13" x14ac:dyDescent="0.2">
      <c r="H134" s="30"/>
      <c r="I134" s="30"/>
      <c r="J134" s="30"/>
      <c r="K134" s="1"/>
      <c r="L134" s="1"/>
      <c r="M134" s="1"/>
    </row>
    <row r="135" spans="8:13" x14ac:dyDescent="0.2">
      <c r="H135" s="30"/>
      <c r="I135" s="30"/>
      <c r="J135" s="30"/>
      <c r="K135" s="1"/>
      <c r="L135" s="1"/>
      <c r="M135" s="1"/>
    </row>
    <row r="136" spans="8:13" x14ac:dyDescent="0.2">
      <c r="H136" s="30"/>
      <c r="I136" s="30"/>
      <c r="J136" s="30"/>
      <c r="K136" s="1"/>
      <c r="L136" s="1"/>
      <c r="M136" s="1"/>
    </row>
    <row r="137" spans="8:13" x14ac:dyDescent="0.2">
      <c r="H137" s="30"/>
      <c r="I137" s="30"/>
      <c r="J137" s="30"/>
      <c r="K137" s="1"/>
      <c r="L137" s="1"/>
      <c r="M137" s="1"/>
    </row>
    <row r="138" spans="8:13" x14ac:dyDescent="0.2">
      <c r="K138" s="1"/>
      <c r="L138" s="1"/>
      <c r="M138" s="1"/>
    </row>
    <row r="139" spans="8:13" x14ac:dyDescent="0.2">
      <c r="K139" s="1"/>
      <c r="L139" s="1"/>
      <c r="M139" s="1"/>
    </row>
    <row r="140" spans="8:13" x14ac:dyDescent="0.2">
      <c r="K140" s="1"/>
      <c r="L140" s="1"/>
      <c r="M140" s="1"/>
    </row>
  </sheetData>
  <mergeCells count="5">
    <mergeCell ref="J2:K2"/>
    <mergeCell ref="E2:H2"/>
    <mergeCell ref="E3:F3"/>
    <mergeCell ref="G3:H3"/>
    <mergeCell ref="M2:N2"/>
  </mergeCells>
  <pageMargins left="0.7" right="0.7" top="0.75" bottom="0.75" header="0.3" footer="0.3"/>
  <pageSetup orientation="portrait" horizontalDpi="0" verticalDpi="0"/>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CE873-D84F-2448-9620-50298EA86241}">
  <dimension ref="B3:L26"/>
  <sheetViews>
    <sheetView zoomScale="140" zoomScaleNormal="140" workbookViewId="0">
      <selection activeCell="B25" sqref="B25"/>
    </sheetView>
  </sheetViews>
  <sheetFormatPr baseColWidth="10" defaultColWidth="11.5" defaultRowHeight="15" x14ac:dyDescent="0.2"/>
  <cols>
    <col min="4" max="4" width="8.33203125" bestFit="1" customWidth="1"/>
    <col min="5" max="5" width="3.83203125" customWidth="1"/>
    <col min="6" max="6" width="31.83203125" bestFit="1" customWidth="1"/>
    <col min="7" max="7" width="3.83203125" customWidth="1"/>
    <col min="8" max="12" width="14.83203125" customWidth="1"/>
  </cols>
  <sheetData>
    <row r="3" spans="2:12" x14ac:dyDescent="0.2">
      <c r="B3" s="47" t="s">
        <v>213</v>
      </c>
    </row>
    <row r="5" spans="2:12" x14ac:dyDescent="0.2">
      <c r="B5" s="71" t="s">
        <v>214</v>
      </c>
      <c r="C5" s="71" t="s">
        <v>141</v>
      </c>
      <c r="D5" s="71" t="s">
        <v>215</v>
      </c>
      <c r="F5" s="71" t="s">
        <v>216</v>
      </c>
      <c r="H5" s="71" t="s">
        <v>217</v>
      </c>
      <c r="I5" s="71" t="s">
        <v>218</v>
      </c>
      <c r="J5" s="71" t="s">
        <v>219</v>
      </c>
      <c r="K5" s="71" t="s">
        <v>220</v>
      </c>
      <c r="L5" s="71"/>
    </row>
    <row r="6" spans="2:12" x14ac:dyDescent="0.2">
      <c r="B6" t="s">
        <v>221</v>
      </c>
      <c r="C6" s="73">
        <v>7.6</v>
      </c>
      <c r="D6" t="s">
        <v>222</v>
      </c>
      <c r="F6" t="s">
        <v>223</v>
      </c>
      <c r="H6" t="s">
        <v>224</v>
      </c>
      <c r="I6" t="s">
        <v>225</v>
      </c>
      <c r="J6" s="72" t="s">
        <v>226</v>
      </c>
      <c r="K6" s="72" t="s">
        <v>227</v>
      </c>
    </row>
    <row r="7" spans="2:12" x14ac:dyDescent="0.2">
      <c r="C7" s="73"/>
      <c r="D7" t="s">
        <v>228</v>
      </c>
      <c r="F7" t="s">
        <v>229</v>
      </c>
      <c r="H7" s="72" t="s">
        <v>230</v>
      </c>
      <c r="I7" s="72" t="s">
        <v>231</v>
      </c>
      <c r="J7" s="72" t="s">
        <v>232</v>
      </c>
      <c r="K7" s="72" t="s">
        <v>233</v>
      </c>
    </row>
    <row r="8" spans="2:12" x14ac:dyDescent="0.2">
      <c r="B8" t="s">
        <v>234</v>
      </c>
      <c r="C8" s="73">
        <v>6.9</v>
      </c>
      <c r="D8" t="s">
        <v>222</v>
      </c>
      <c r="F8" t="s">
        <v>235</v>
      </c>
      <c r="H8" t="s">
        <v>224</v>
      </c>
      <c r="I8" t="s">
        <v>236</v>
      </c>
      <c r="J8" s="72" t="s">
        <v>237</v>
      </c>
      <c r="K8" s="72" t="s">
        <v>238</v>
      </c>
    </row>
    <row r="9" spans="2:12" x14ac:dyDescent="0.2">
      <c r="C9" s="73"/>
      <c r="D9" t="s">
        <v>228</v>
      </c>
      <c r="F9" t="s">
        <v>239</v>
      </c>
      <c r="H9" s="72" t="s">
        <v>240</v>
      </c>
      <c r="I9" s="72" t="s">
        <v>241</v>
      </c>
      <c r="J9" s="72" t="s">
        <v>242</v>
      </c>
      <c r="K9" s="72" t="s">
        <v>233</v>
      </c>
    </row>
    <row r="10" spans="2:12" x14ac:dyDescent="0.2">
      <c r="B10" t="s">
        <v>243</v>
      </c>
      <c r="C10" s="73">
        <v>6.1</v>
      </c>
      <c r="D10" t="s">
        <v>222</v>
      </c>
      <c r="F10" t="s">
        <v>244</v>
      </c>
      <c r="H10" s="72" t="s">
        <v>245</v>
      </c>
      <c r="I10" s="72" t="s">
        <v>246</v>
      </c>
      <c r="J10" s="72" t="s">
        <v>247</v>
      </c>
      <c r="K10" s="72"/>
    </row>
    <row r="11" spans="2:12" x14ac:dyDescent="0.2">
      <c r="C11" s="73"/>
      <c r="D11" t="s">
        <v>228</v>
      </c>
      <c r="F11" t="s">
        <v>248</v>
      </c>
      <c r="H11" s="72" t="s">
        <v>230</v>
      </c>
      <c r="I11" s="72" t="s">
        <v>249</v>
      </c>
      <c r="J11" s="72" t="s">
        <v>250</v>
      </c>
      <c r="K11" s="72"/>
    </row>
    <row r="12" spans="2:12" x14ac:dyDescent="0.2">
      <c r="C12" s="73"/>
    </row>
    <row r="13" spans="2:12" x14ac:dyDescent="0.2">
      <c r="C13" s="73"/>
    </row>
    <row r="14" spans="2:12" x14ac:dyDescent="0.2">
      <c r="B14" s="47" t="s">
        <v>251</v>
      </c>
      <c r="C14" s="73"/>
    </row>
    <row r="15" spans="2:12" x14ac:dyDescent="0.2">
      <c r="C15" s="73"/>
    </row>
    <row r="16" spans="2:12" x14ac:dyDescent="0.2">
      <c r="B16" t="s">
        <v>221</v>
      </c>
      <c r="C16" s="73">
        <v>5</v>
      </c>
      <c r="D16" t="s">
        <v>222</v>
      </c>
      <c r="F16" t="s">
        <v>252</v>
      </c>
      <c r="H16" s="72" t="s">
        <v>253</v>
      </c>
      <c r="I16" s="72" t="s">
        <v>254</v>
      </c>
      <c r="J16" s="72" t="s">
        <v>255</v>
      </c>
    </row>
    <row r="17" spans="2:10" x14ac:dyDescent="0.2">
      <c r="C17" s="73"/>
      <c r="D17" t="s">
        <v>228</v>
      </c>
      <c r="H17" s="72" t="s">
        <v>256</v>
      </c>
      <c r="I17" s="72" t="s">
        <v>257</v>
      </c>
      <c r="J17" s="72" t="s">
        <v>258</v>
      </c>
    </row>
    <row r="18" spans="2:10" x14ac:dyDescent="0.2">
      <c r="B18" t="s">
        <v>243</v>
      </c>
      <c r="C18" s="73">
        <v>3.8</v>
      </c>
      <c r="D18" t="s">
        <v>222</v>
      </c>
      <c r="F18" t="s">
        <v>259</v>
      </c>
      <c r="H18" s="72" t="s">
        <v>253</v>
      </c>
      <c r="I18" s="72" t="s">
        <v>260</v>
      </c>
      <c r="J18" s="72" t="s">
        <v>261</v>
      </c>
    </row>
    <row r="19" spans="2:10" x14ac:dyDescent="0.2">
      <c r="C19" s="73"/>
      <c r="D19" t="s">
        <v>228</v>
      </c>
      <c r="H19" s="72" t="s">
        <v>262</v>
      </c>
      <c r="I19" s="72" t="s">
        <v>263</v>
      </c>
      <c r="J19" s="72" t="s">
        <v>258</v>
      </c>
    </row>
    <row r="20" spans="2:10" x14ac:dyDescent="0.2">
      <c r="C20" s="30"/>
    </row>
    <row r="21" spans="2:10" x14ac:dyDescent="0.2">
      <c r="C21" s="30"/>
    </row>
    <row r="22" spans="2:10" x14ac:dyDescent="0.2">
      <c r="B22" s="47" t="s">
        <v>264</v>
      </c>
      <c r="C22" s="30"/>
    </row>
    <row r="23" spans="2:10" x14ac:dyDescent="0.2">
      <c r="C23" s="30"/>
    </row>
    <row r="24" spans="2:10" x14ac:dyDescent="0.2">
      <c r="C24" s="30"/>
    </row>
    <row r="25" spans="2:10" x14ac:dyDescent="0.2">
      <c r="C25" s="30"/>
    </row>
    <row r="26" spans="2:10" x14ac:dyDescent="0.2">
      <c r="C26" s="30"/>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839DD-701A-4A37-9561-C6563E39DAC2}">
  <sheetPr>
    <pageSetUpPr fitToPage="1"/>
  </sheetPr>
  <dimension ref="A2:BP51"/>
  <sheetViews>
    <sheetView topLeftCell="I1" zoomScaleNormal="100" workbookViewId="0">
      <selection activeCell="BH14" sqref="BH14"/>
    </sheetView>
  </sheetViews>
  <sheetFormatPr baseColWidth="10" defaultColWidth="8.83203125" defaultRowHeight="15" x14ac:dyDescent="0.2"/>
  <cols>
    <col min="1" max="1" width="5.83203125" customWidth="1"/>
    <col min="2" max="7" width="8.6640625" customWidth="1"/>
    <col min="8" max="8" width="17" customWidth="1"/>
    <col min="9" max="9" width="15" customWidth="1"/>
    <col min="10" max="10" width="17.6640625" bestFit="1" customWidth="1"/>
    <col min="11" max="11" width="27.33203125" customWidth="1"/>
    <col min="12" max="13" width="9" style="1" customWidth="1"/>
    <col min="14" max="23" width="9.6640625" style="1" customWidth="1"/>
    <col min="24" max="24" width="9.6640625" style="82" customWidth="1"/>
    <col min="25" max="27" width="9.6640625" style="1" customWidth="1"/>
    <col min="28" max="28" width="9.6640625" style="82" customWidth="1"/>
    <col min="29" max="57" width="9.6640625" style="1" customWidth="1"/>
    <col min="58" max="58" width="13" customWidth="1"/>
    <col min="59" max="66" width="8.33203125" style="1" customWidth="1"/>
    <col min="67" max="67" width="1.83203125" customWidth="1"/>
  </cols>
  <sheetData>
    <row r="2" spans="1:68" ht="16" thickBot="1" x14ac:dyDescent="0.25">
      <c r="A2" s="8"/>
      <c r="B2" s="6"/>
      <c r="I2" s="446" t="s">
        <v>341</v>
      </c>
      <c r="J2" s="447"/>
      <c r="K2" s="447"/>
      <c r="L2"/>
      <c r="M2"/>
      <c r="BF2" s="3"/>
    </row>
    <row r="3" spans="1:68" ht="17" thickTop="1" thickBot="1" x14ac:dyDescent="0.25">
      <c r="A3" s="8"/>
      <c r="B3" s="6"/>
      <c r="I3" s="3"/>
      <c r="K3" s="56"/>
      <c r="L3"/>
      <c r="M3"/>
      <c r="N3" s="456" t="s">
        <v>362</v>
      </c>
      <c r="O3" s="457"/>
      <c r="P3" s="457"/>
      <c r="Q3" s="457"/>
      <c r="R3" s="454" t="s">
        <v>363</v>
      </c>
      <c r="S3" s="455"/>
      <c r="T3" s="455"/>
      <c r="U3" s="455"/>
      <c r="V3" s="456" t="s">
        <v>364</v>
      </c>
      <c r="W3" s="457"/>
      <c r="X3" s="457"/>
      <c r="Y3" s="457"/>
      <c r="Z3" s="454" t="s">
        <v>365</v>
      </c>
      <c r="AA3" s="455"/>
      <c r="AB3" s="455"/>
      <c r="AC3" s="455"/>
      <c r="AD3" s="456" t="s">
        <v>366</v>
      </c>
      <c r="AE3" s="457"/>
      <c r="AF3" s="457"/>
      <c r="AG3" s="457"/>
      <c r="AH3" s="454" t="s">
        <v>367</v>
      </c>
      <c r="AI3" s="455"/>
      <c r="AJ3" s="455"/>
      <c r="AK3" s="455"/>
      <c r="AL3" s="456" t="s">
        <v>368</v>
      </c>
      <c r="AM3" s="457"/>
      <c r="AN3" s="457"/>
      <c r="AO3" s="457"/>
      <c r="AP3" s="454" t="s">
        <v>369</v>
      </c>
      <c r="AQ3" s="455"/>
      <c r="AR3" s="455"/>
      <c r="AS3" s="455"/>
      <c r="AT3" s="456" t="s">
        <v>370</v>
      </c>
      <c r="AU3" s="457"/>
      <c r="AV3" s="457"/>
      <c r="AW3" s="457"/>
      <c r="AX3" s="454" t="s">
        <v>371</v>
      </c>
      <c r="AY3" s="455"/>
      <c r="AZ3" s="455"/>
      <c r="BA3" s="455"/>
      <c r="BB3" s="456" t="s">
        <v>372</v>
      </c>
      <c r="BC3" s="457"/>
      <c r="BD3" s="457"/>
      <c r="BE3" s="458"/>
      <c r="BF3" s="3"/>
      <c r="BG3" s="448" t="s">
        <v>0</v>
      </c>
      <c r="BH3" s="449"/>
      <c r="BI3" s="449"/>
      <c r="BJ3" s="450"/>
      <c r="BK3" s="451" t="s">
        <v>1</v>
      </c>
      <c r="BL3" s="452"/>
      <c r="BM3" s="452"/>
      <c r="BN3" s="453"/>
    </row>
    <row r="4" spans="1:68" ht="65" thickBot="1" x14ac:dyDescent="0.25">
      <c r="A4" s="49"/>
      <c r="B4" s="259" t="s">
        <v>2</v>
      </c>
      <c r="C4" s="188" t="s">
        <v>3</v>
      </c>
      <c r="D4" s="260" t="s">
        <v>4</v>
      </c>
      <c r="E4" s="259" t="s">
        <v>5</v>
      </c>
      <c r="F4" s="188" t="s">
        <v>6</v>
      </c>
      <c r="G4" s="188" t="s">
        <v>7</v>
      </c>
      <c r="H4" s="189" t="s">
        <v>8</v>
      </c>
      <c r="I4" s="378" t="s">
        <v>9</v>
      </c>
      <c r="J4" s="261" t="s">
        <v>10</v>
      </c>
      <c r="K4" s="262" t="s">
        <v>11</v>
      </c>
      <c r="L4" s="263" t="s">
        <v>12</v>
      </c>
      <c r="M4" s="263" t="s">
        <v>13</v>
      </c>
      <c r="N4" s="264" t="s">
        <v>14</v>
      </c>
      <c r="O4" s="265" t="s">
        <v>15</v>
      </c>
      <c r="P4" s="265" t="s">
        <v>16</v>
      </c>
      <c r="Q4" s="190" t="s">
        <v>17</v>
      </c>
      <c r="R4" s="191" t="s">
        <v>18</v>
      </c>
      <c r="S4" s="192" t="s">
        <v>19</v>
      </c>
      <c r="T4" s="192" t="s">
        <v>20</v>
      </c>
      <c r="U4" s="193" t="s">
        <v>21</v>
      </c>
      <c r="V4" s="191" t="s">
        <v>22</v>
      </c>
      <c r="W4" s="192" t="s">
        <v>23</v>
      </c>
      <c r="X4" s="192" t="s">
        <v>24</v>
      </c>
      <c r="Y4" s="193" t="s">
        <v>25</v>
      </c>
      <c r="Z4" s="191" t="s">
        <v>26</v>
      </c>
      <c r="AA4" s="192" t="s">
        <v>27</v>
      </c>
      <c r="AB4" s="192" t="s">
        <v>28</v>
      </c>
      <c r="AC4" s="193" t="s">
        <v>29</v>
      </c>
      <c r="AD4" s="191" t="s">
        <v>30</v>
      </c>
      <c r="AE4" s="192" t="s">
        <v>31</v>
      </c>
      <c r="AF4" s="192" t="s">
        <v>32</v>
      </c>
      <c r="AG4" s="193" t="s">
        <v>33</v>
      </c>
      <c r="AH4" s="191" t="s">
        <v>34</v>
      </c>
      <c r="AI4" s="192" t="s">
        <v>35</v>
      </c>
      <c r="AJ4" s="192" t="s">
        <v>36</v>
      </c>
      <c r="AK4" s="193" t="s">
        <v>37</v>
      </c>
      <c r="AL4" s="191" t="s">
        <v>38</v>
      </c>
      <c r="AM4" s="192" t="s">
        <v>39</v>
      </c>
      <c r="AN4" s="192" t="s">
        <v>40</v>
      </c>
      <c r="AO4" s="193" t="s">
        <v>41</v>
      </c>
      <c r="AP4" s="191" t="s">
        <v>42</v>
      </c>
      <c r="AQ4" s="192" t="s">
        <v>43</v>
      </c>
      <c r="AR4" s="192" t="s">
        <v>44</v>
      </c>
      <c r="AS4" s="193" t="s">
        <v>45</v>
      </c>
      <c r="AT4" s="191" t="s">
        <v>46</v>
      </c>
      <c r="AU4" s="192" t="s">
        <v>47</v>
      </c>
      <c r="AV4" s="192" t="s">
        <v>48</v>
      </c>
      <c r="AW4" s="193" t="s">
        <v>49</v>
      </c>
      <c r="AX4" s="191" t="s">
        <v>46</v>
      </c>
      <c r="AY4" s="192" t="s">
        <v>47</v>
      </c>
      <c r="AZ4" s="192" t="s">
        <v>50</v>
      </c>
      <c r="BA4" s="193" t="s">
        <v>51</v>
      </c>
      <c r="BB4" s="191" t="s">
        <v>46</v>
      </c>
      <c r="BC4" s="192" t="s">
        <v>47</v>
      </c>
      <c r="BD4" s="192" t="s">
        <v>52</v>
      </c>
      <c r="BE4" s="193" t="s">
        <v>53</v>
      </c>
      <c r="BF4" s="266"/>
      <c r="BG4" s="350" t="s">
        <v>54</v>
      </c>
      <c r="BH4" s="192" t="s">
        <v>297</v>
      </c>
      <c r="BI4" s="351" t="s">
        <v>55</v>
      </c>
      <c r="BJ4" s="352" t="s">
        <v>56</v>
      </c>
      <c r="BK4" s="353" t="s">
        <v>54</v>
      </c>
      <c r="BL4" s="354" t="s">
        <v>297</v>
      </c>
      <c r="BM4" s="354" t="s">
        <v>55</v>
      </c>
      <c r="BN4" s="355" t="s">
        <v>56</v>
      </c>
    </row>
    <row r="5" spans="1:68" ht="30" customHeight="1" thickTop="1" x14ac:dyDescent="0.2">
      <c r="A5" s="50"/>
      <c r="B5" s="356">
        <f t="shared" ref="B5:B15" si="0">COUNTIFS($O5,1)+COUNTIFS($S5,1)+COUNTIFS($W5,1)+COUNTIFS($AA5,1)+COUNTIFS($AE5,1)+COUNTIFS($AI5,1)+COUNTIFS($AM5,1)+COUNTIFS($AQ5,1)+COUNTIFS($AU5,1)+COUNTIFS($AY5,1)+COUNTIFS($BB5,1)</f>
        <v>0</v>
      </c>
      <c r="C5" s="357">
        <f t="shared" ref="C5:C15" si="1">COUNTIFS($O5,2)+COUNTIFS($S5,2)+COUNTIFS($W5,2)+COUNTIFS($AA5,2)+COUNTIFS($AE5,2)+COUNTIFS($AI5,2)+COUNTIFS($AM5,2)+COUNTIFS($AQ5,2)+COUNTIFS($AU5,2)+COUNTIFS($AY5,2)+COUNTIFS($BB5,2)</f>
        <v>0</v>
      </c>
      <c r="D5" s="357">
        <f t="shared" ref="D5:D15" si="2">COUNTIFS($O5,3)+COUNTIFS($S5,3)+COUNTIFS($W5,3)+COUNTIFS($AA5,3)+COUNTIFS($AE5,3)+COUNTIFS($AI5,3)+COUNTIFS($AM5,3)+COUNTIFS($AQ5,3)+COUNTIFS($AU5,3)+COUNTIFS($AY5,3)+COUNTIFS($BB5,3)</f>
        <v>1</v>
      </c>
      <c r="E5" s="357">
        <f t="shared" ref="E5:E15" si="3">COUNTIFS($N5,1)+COUNTIFS($R5,1)+COUNTIFS($V5,1)+COUNTIFS($Z5,1)+COUNTIFS($AD5,1)+COUNTIFS($AH5,1)+COUNTIFS($AL5,1)+COUNTIFS($AP5,1)+COUNTIFS($AT5,1)+COUNTIFS($AX5,1)+COUNTIFS($BB5,1)</f>
        <v>0</v>
      </c>
      <c r="F5" s="357">
        <f>COUNTIF('Race #1'!K4,"Yes")+COUNTIF('Race #2'!K4,"Yes")+COUNTIF('Race #3'!K4,"Yes")+COUNTIF('Race #4'!K4,"Yes")+COUNTIF('Race #5'!K4,"Yes")+COUNTIF('Race #6'!K4,"Yes")+COUNTIF('Race #7'!K4,"Yes")+COUNTIF('Race #8'!K4,"Yes")+COUNTIF('Race #9'!K4,"Yes")+COUNTIF('Race #10'!K4,"Yes")+COUNTIF('Race #11'!K4,"Yes")</f>
        <v>1</v>
      </c>
      <c r="G5" s="357">
        <f t="shared" ref="G5:G15" si="4">COUNT($N5)+COUNT($R5)+COUNT($V5)+COUNT($Z5)+COUNT($AD5)+COUNT($AH5)+COUNT($AL5)+COUNT($AP5)+COUNT($AT5)+COUNT($AX5)+COUNT($BB5)</f>
        <v>1</v>
      </c>
      <c r="H5" s="358" t="str">
        <f>'Handicaps-Roster'!F6</f>
        <v>231-432-0192</v>
      </c>
      <c r="I5" s="380" t="str">
        <f>'Handicaps-Roster'!C6</f>
        <v>Estella</v>
      </c>
      <c r="J5" s="360" t="str">
        <f>'Handicaps-Roster'!D6</f>
        <v>Saffier 33</v>
      </c>
      <c r="K5" s="360" t="str">
        <f>'Handicaps-Roster'!E6</f>
        <v>Doug Kilgren</v>
      </c>
      <c r="L5" s="361">
        <f>MIN(MAX('Handicaps-Roster'!J6,'Handicaps-Roster'!L6),'Handicaps-Roster'!M6)</f>
        <v>90</v>
      </c>
      <c r="M5" s="361">
        <f>MIN(MAX('Handicaps-Roster'!K6,'Handicaps-Roster'!N6),'Handicaps-Roster'!O6)</f>
        <v>110</v>
      </c>
      <c r="N5" s="362" t="str">
        <f>'Race #1'!P4</f>
        <v/>
      </c>
      <c r="O5" s="362" t="str">
        <f>IFERROR('Race #1'!$AB4,"")</f>
        <v/>
      </c>
      <c r="P5" s="363">
        <f>IFERROR('Race #1'!$AC4,"")</f>
        <v>0</v>
      </c>
      <c r="Q5" s="363">
        <f>IFERROR('Race #1'!$AN4,"")</f>
        <v>0</v>
      </c>
      <c r="R5" s="362" t="str">
        <f>'Race #2'!P4</f>
        <v/>
      </c>
      <c r="S5" s="362" t="str">
        <f>IFERROR('Race #2'!$AB4,"")</f>
        <v/>
      </c>
      <c r="T5" s="363">
        <f>IFERROR('Race #2'!$AC4,"")</f>
        <v>0</v>
      </c>
      <c r="U5" s="363">
        <f>IFERROR('Race #2'!$AN4,"")</f>
        <v>0</v>
      </c>
      <c r="V5" s="362" t="str">
        <f>'Race #3'!P4</f>
        <v/>
      </c>
      <c r="W5" s="362" t="str">
        <f>IFERROR('Race #3'!AB4,"")</f>
        <v/>
      </c>
      <c r="X5" s="363">
        <f>IFERROR('Race #3'!$AC4,"")</f>
        <v>0</v>
      </c>
      <c r="Y5" s="363">
        <f>IFERROR('Race #3'!$AN4,"")</f>
        <v>0</v>
      </c>
      <c r="Z5" s="362">
        <f>'Race #4'!P4</f>
        <v>3</v>
      </c>
      <c r="AA5" s="362">
        <f>IFERROR('Race #4'!$AB4,"")</f>
        <v>3</v>
      </c>
      <c r="AB5" s="363">
        <f>IFERROR('Race #4'!$AC4,"")</f>
        <v>4</v>
      </c>
      <c r="AC5" s="363">
        <f>IFERROR('Race #4'!$AN4,"")</f>
        <v>4</v>
      </c>
      <c r="AD5" s="363" t="str">
        <f>'Race #5'!P4</f>
        <v/>
      </c>
      <c r="AE5" s="364" t="str">
        <f>IFERROR('Race #5'!$AB4,"")</f>
        <v/>
      </c>
      <c r="AF5" s="363" t="str">
        <f>IFERROR('Race #5'!$AC4,"")</f>
        <v/>
      </c>
      <c r="AG5" s="363" t="str">
        <f>IFERROR('Race #5'!$AN4,"")</f>
        <v/>
      </c>
      <c r="AH5" s="362" t="str">
        <f>'Race #6'!P4</f>
        <v/>
      </c>
      <c r="AI5" s="362" t="str">
        <f>IFERROR('Race #6'!$AB4,"")</f>
        <v/>
      </c>
      <c r="AJ5" s="363">
        <f>IFERROR('Race #6'!$AC4,"")</f>
        <v>0</v>
      </c>
      <c r="AK5" s="363" t="str">
        <f>IFERROR('Race #6'!$AN4,"")</f>
        <v/>
      </c>
      <c r="AL5" s="365" t="str">
        <f>'Race #7'!P4</f>
        <v/>
      </c>
      <c r="AM5" s="364" t="str">
        <f>IFERROR('Race #7'!$AB4,"")</f>
        <v/>
      </c>
      <c r="AN5" s="363" t="str">
        <f>IFERROR('Race #7'!$AC4,"")</f>
        <v/>
      </c>
      <c r="AO5" s="363" t="str">
        <f>IFERROR('Race #7'!$AN4,"")</f>
        <v/>
      </c>
      <c r="AP5" s="362" t="str">
        <f>'Race #8'!P4</f>
        <v/>
      </c>
      <c r="AQ5" s="362" t="str">
        <f>IFERROR('Race #8'!$AB4,"")</f>
        <v/>
      </c>
      <c r="AR5" s="363">
        <f>IFERROR('Race #8'!$AC4,"")</f>
        <v>0</v>
      </c>
      <c r="AS5" s="363" t="str">
        <f>IFERROR('Race #8'!$AN4,"")</f>
        <v/>
      </c>
      <c r="AT5" s="364" t="str">
        <f>'Race #9'!P4</f>
        <v/>
      </c>
      <c r="AU5" s="364" t="str">
        <f>IFERROR('Race #9'!$AB4,"")</f>
        <v/>
      </c>
      <c r="AV5" s="363" t="str">
        <f>IFERROR('Race #9'!$AC4,"")</f>
        <v/>
      </c>
      <c r="AW5" s="363" t="str">
        <f>IFERROR('Race #9'!$AN4,"")</f>
        <v/>
      </c>
      <c r="AX5" s="362" t="str">
        <f>'Race #10'!P4</f>
        <v/>
      </c>
      <c r="AY5" s="362" t="str">
        <f>IFERROR('Race #10'!$AB4,"")</f>
        <v/>
      </c>
      <c r="AZ5" s="362">
        <f>IFERROR('Race #10'!$AC4,"")</f>
        <v>0</v>
      </c>
      <c r="BA5" s="363" t="str">
        <f>IFERROR('Race #10'!$AN4,"")</f>
        <v/>
      </c>
      <c r="BB5" s="362" t="str">
        <f>'Race #11'!P4</f>
        <v/>
      </c>
      <c r="BC5" s="362" t="str">
        <f>IFERROR('Race #11'!$AB4,"")</f>
        <v/>
      </c>
      <c r="BD5" s="362">
        <f>IFERROR('Race #11'!$AC4,"")</f>
        <v>0</v>
      </c>
      <c r="BE5" s="363" t="str">
        <f>IFERROR('Race #11'!$AN4,"")</f>
        <v/>
      </c>
      <c r="BF5" s="359" t="str">
        <f t="shared" ref="BF5:BF15" si="5">I5</f>
        <v>Estella</v>
      </c>
      <c r="BG5" s="379">
        <f>SUM(P5,T5,X5,AB5,AF5,AJ5,AN5,AR5,AV5,AZ5,BD5)</f>
        <v>4</v>
      </c>
      <c r="BH5" s="379">
        <f>SMALL((P5,T5,X5,AB5,AF5,AJ5,AN5,AR5,AV5,AZ5,BD5),1)+SMALL((P5,T5,X5,AB5,AF5,AJ5,AN5,AR5,AV5,AZ5,BD5),2)</f>
        <v>0</v>
      </c>
      <c r="BI5" s="366">
        <f>BG5-BH5</f>
        <v>4</v>
      </c>
      <c r="BJ5" s="366">
        <f t="shared" ref="BJ5:BJ18" si="6">RANK(BI5,$BI$5:$BI$18,0)</f>
        <v>6</v>
      </c>
      <c r="BK5" s="379">
        <f>SUM(Q5,U5,Y5,AC5,AG5,AK5,AO5,AS5,AW5,BA5,BE5)</f>
        <v>4</v>
      </c>
      <c r="BL5" s="379">
        <f>SMALL((Q5,U5,Y5,AC5,AG5,AK5,AO5,AS5,AW5,BA5,BE5),1)+SMALL((Q5,U5,Y5,AC5,AG5,AK5,AO5,AS5,AW5,BA5,BE5),2)</f>
        <v>0</v>
      </c>
      <c r="BM5" s="367">
        <f>BK5-BL5</f>
        <v>4</v>
      </c>
      <c r="BN5" s="368">
        <f t="shared" ref="BN5:BN18" si="7">RANK(BM5,$BM$5:$BM$18,0)</f>
        <v>6</v>
      </c>
      <c r="BP5" s="295" t="s">
        <v>338</v>
      </c>
    </row>
    <row r="6" spans="1:68" ht="30" customHeight="1" x14ac:dyDescent="0.2">
      <c r="A6" s="50"/>
      <c r="B6" s="369">
        <f t="shared" si="0"/>
        <v>1</v>
      </c>
      <c r="C6" s="267">
        <f t="shared" si="1"/>
        <v>0</v>
      </c>
      <c r="D6" s="267">
        <f t="shared" si="2"/>
        <v>0</v>
      </c>
      <c r="E6" s="267">
        <f t="shared" si="3"/>
        <v>1</v>
      </c>
      <c r="F6" s="267">
        <f>COUNTIF('Race #1'!K5,"Yes")+COUNTIF('Race #2'!K5,"Yes")+COUNTIF('Race #3'!K5,"Yes")+COUNTIF('Race #4'!K5,"Yes")+COUNTIF('Race #5'!K5,"Yes")+COUNTIF('Race #6'!K5,"Yes")+COUNTIF('Race #7'!K5,"Yes")+COUNTIF('Race #8'!K5,"Yes")+COUNTIF('Race #9'!K5,"Yes")+COUNTIF('Race #10'!K5,"Yes")+COUNTIF('Race #11'!K5,"Yes")</f>
        <v>1</v>
      </c>
      <c r="G6" s="267">
        <f t="shared" si="4"/>
        <v>1</v>
      </c>
      <c r="H6" s="268" t="str">
        <f>'Handicaps-Roster'!F7</f>
        <v>703-789-3547</v>
      </c>
      <c r="I6" s="87" t="str">
        <f>'Handicaps-Roster'!C7</f>
        <v>Exit Strategy</v>
      </c>
      <c r="J6" s="9" t="str">
        <f>'Handicaps-Roster'!D7</f>
        <v>J Boats J-105</v>
      </c>
      <c r="K6" s="9" t="str">
        <f>'Handicaps-Roster'!E7</f>
        <v>John Stamos/John Woods</v>
      </c>
      <c r="L6" s="46">
        <f>MIN(MAX('Handicaps-Roster'!J7,'Handicaps-Roster'!L7),'Handicaps-Roster'!M7)</f>
        <v>78</v>
      </c>
      <c r="M6" s="46">
        <f>MIN(MAX('Handicaps-Roster'!K7,'Handicaps-Roster'!N7),'Handicaps-Roster'!O7)</f>
        <v>96.5</v>
      </c>
      <c r="N6" s="185" t="str">
        <f>'Race #1'!P5</f>
        <v/>
      </c>
      <c r="O6" s="185" t="str">
        <f>IFERROR('Race #1'!$AB5,"")</f>
        <v/>
      </c>
      <c r="P6" s="183">
        <f>IFERROR('Race #1'!$AC5,"")</f>
        <v>0</v>
      </c>
      <c r="Q6" s="183">
        <f>IFERROR('Race #1'!$AN5,"")</f>
        <v>0</v>
      </c>
      <c r="R6" s="185" t="str">
        <f>'Race #2'!P5</f>
        <v/>
      </c>
      <c r="S6" s="185" t="str">
        <f>IFERROR('Race #2'!$AB5,"")</f>
        <v/>
      </c>
      <c r="T6" s="183">
        <f>IFERROR('Race #2'!$AC5,"")</f>
        <v>0</v>
      </c>
      <c r="U6" s="183">
        <f>IFERROR('Race #2'!$AN5,"")</f>
        <v>0</v>
      </c>
      <c r="V6" s="185" t="str">
        <f>'Race #3'!P5</f>
        <v/>
      </c>
      <c r="W6" s="185" t="str">
        <f>IFERROR('Race #3'!AB5,"")</f>
        <v/>
      </c>
      <c r="X6" s="183">
        <f>IFERROR('Race #3'!$AC5,"")</f>
        <v>0</v>
      </c>
      <c r="Y6" s="183">
        <f>IFERROR('Race #3'!$AN5,"")</f>
        <v>0</v>
      </c>
      <c r="Z6" s="185">
        <f>'Race #4'!P5</f>
        <v>1</v>
      </c>
      <c r="AA6" s="185">
        <f>IFERROR('Race #4'!$AB5,"")</f>
        <v>1</v>
      </c>
      <c r="AB6" s="183">
        <f>IFERROR('Race #4'!$AC5,"")</f>
        <v>6</v>
      </c>
      <c r="AC6" s="183">
        <f>IFERROR('Race #4'!$AN5,"")</f>
        <v>6</v>
      </c>
      <c r="AD6" s="183" t="str">
        <f>'Race #5'!P5</f>
        <v/>
      </c>
      <c r="AE6" s="187" t="str">
        <f>IFERROR('Race #5'!$AB5,"")</f>
        <v/>
      </c>
      <c r="AF6" s="183" t="str">
        <f>IFERROR('Race #5'!$AC5,"")</f>
        <v/>
      </c>
      <c r="AG6" s="183" t="str">
        <f>IFERROR('Race #5'!$AN5,"")</f>
        <v/>
      </c>
      <c r="AH6" s="185" t="str">
        <f>'Race #6'!P5</f>
        <v/>
      </c>
      <c r="AI6" s="185" t="str">
        <f>IFERROR('Race #6'!$AB5,"")</f>
        <v/>
      </c>
      <c r="AJ6" s="183">
        <f>IFERROR('Race #6'!$AC5,"")</f>
        <v>0</v>
      </c>
      <c r="AK6" s="183" t="str">
        <f>IFERROR('Race #6'!$AN5,"")</f>
        <v/>
      </c>
      <c r="AL6" s="269" t="str">
        <f>'Race #7'!P5</f>
        <v/>
      </c>
      <c r="AM6" s="187" t="str">
        <f>IFERROR('Race #7'!$AB5,"")</f>
        <v/>
      </c>
      <c r="AN6" s="183" t="str">
        <f>IFERROR('Race #7'!$AC5,"")</f>
        <v/>
      </c>
      <c r="AO6" s="183" t="str">
        <f>IFERROR('Race #7'!$AN5,"")</f>
        <v/>
      </c>
      <c r="AP6" s="185" t="str">
        <f>'Race #8'!P5</f>
        <v/>
      </c>
      <c r="AQ6" s="185" t="str">
        <f>IFERROR('Race #8'!$AB5,"")</f>
        <v/>
      </c>
      <c r="AR6" s="183">
        <f>IFERROR('Race #8'!$AC5,"")</f>
        <v>0</v>
      </c>
      <c r="AS6" s="183" t="str">
        <f>IFERROR('Race #8'!$AN5,"")</f>
        <v/>
      </c>
      <c r="AT6" s="187" t="str">
        <f>'Race #9'!P5</f>
        <v/>
      </c>
      <c r="AU6" s="187" t="str">
        <f>IFERROR('Race #9'!$AB5,"")</f>
        <v/>
      </c>
      <c r="AV6" s="183" t="str">
        <f>IFERROR('Race #9'!$AC5,"")</f>
        <v/>
      </c>
      <c r="AW6" s="183" t="str">
        <f>IFERROR('Race #9'!$AN5,"")</f>
        <v/>
      </c>
      <c r="AX6" s="185" t="str">
        <f>'Race #10'!P5</f>
        <v/>
      </c>
      <c r="AY6" s="185" t="str">
        <f>IFERROR('Race #10'!$AB5,"")</f>
        <v/>
      </c>
      <c r="AZ6" s="185">
        <f>IFERROR('Race #10'!$AC5,"")</f>
        <v>0</v>
      </c>
      <c r="BA6" s="183" t="str">
        <f>IFERROR('Race #10'!$AN5,"")</f>
        <v/>
      </c>
      <c r="BB6" s="185" t="str">
        <f>'Race #11'!P5</f>
        <v/>
      </c>
      <c r="BC6" s="185" t="str">
        <f>IFERROR('Race #11'!$AB5,"")</f>
        <v/>
      </c>
      <c r="BD6" s="185">
        <f>IFERROR('Race #11'!$AC5,"")</f>
        <v>0</v>
      </c>
      <c r="BE6" s="183" t="str">
        <f>IFERROR('Race #11'!$AN5,"")</f>
        <v/>
      </c>
      <c r="BF6" s="87" t="str">
        <f t="shared" si="5"/>
        <v>Exit Strategy</v>
      </c>
      <c r="BG6" s="296">
        <f t="shared" ref="BG6:BG15" si="8">SUM(P6,T6,X6,AB6,AF6,AJ6,AN6,AR6,AV6,AZ6,BD6)</f>
        <v>6</v>
      </c>
      <c r="BH6" s="296">
        <f>SMALL((P6,T6,X6,AB6,AF6,AJ6,AN6,AR6,AV6,AZ6,BD6),1)+SMALL((P6,T6,X6,AB6,AF6,AJ6,AN6,AR6,AV6,AZ6,BD6),2)</f>
        <v>0</v>
      </c>
      <c r="BI6" s="174">
        <f>BG6-BH6</f>
        <v>6</v>
      </c>
      <c r="BJ6" s="174">
        <f t="shared" si="6"/>
        <v>5</v>
      </c>
      <c r="BK6" s="296">
        <f t="shared" ref="BK6:BK15" si="9">SUM(Q6,U6,Y6,AC6,AG6,AK6,AO6,AS6,AW6,BA6,BE6)</f>
        <v>6</v>
      </c>
      <c r="BL6" s="296">
        <f>SMALL((Q6,U6,Y6,AC6,AG6,AK6,AO6,AS6,AW6,BA6,BE6),1)+SMALL((Q6,U6,Y6,AC6,AG6,AK6,AO6,AS6,AW6,BA6,BE6),2)</f>
        <v>0</v>
      </c>
      <c r="BM6" s="156">
        <f t="shared" ref="BM6:BM15" si="10">BK6-BL6</f>
        <v>6</v>
      </c>
      <c r="BN6" s="370">
        <f t="shared" si="7"/>
        <v>4</v>
      </c>
      <c r="BP6" s="295" t="s">
        <v>338</v>
      </c>
    </row>
    <row r="7" spans="1:68" ht="30" customHeight="1" x14ac:dyDescent="0.2">
      <c r="A7" s="50"/>
      <c r="B7" s="369">
        <f t="shared" si="0"/>
        <v>0</v>
      </c>
      <c r="C7" s="267">
        <f t="shared" si="1"/>
        <v>0</v>
      </c>
      <c r="D7" s="267">
        <f t="shared" si="2"/>
        <v>0</v>
      </c>
      <c r="E7" s="267">
        <f t="shared" si="3"/>
        <v>0</v>
      </c>
      <c r="F7" s="267">
        <f>COUNTIF('Race #1'!K6,"Yes")+COUNTIF('Race #2'!K6,"Yes")+COUNTIF('Race #3'!K6,"Yes")+COUNTIF('Race #4'!K6,"Yes")+COUNTIF('Race #5'!K6,"Yes")+COUNTIF('Race #6'!K6,"Yes")+COUNTIF('Race #7'!K6,"Yes")+COUNTIF('Race #8'!K6,"Yes")+COUNTIF('Race #9'!K6,"Yes")+COUNTIF('Race #10'!K6,"Yes")+COUNTIF('Race #11'!K6,"Yes")</f>
        <v>1</v>
      </c>
      <c r="G7" s="267">
        <f t="shared" si="4"/>
        <v>1</v>
      </c>
      <c r="H7" s="268" t="str">
        <f>'Handicaps-Roster'!F8</f>
        <v>847-736-5924</v>
      </c>
      <c r="I7" s="87" t="s">
        <v>355</v>
      </c>
      <c r="J7" s="9" t="str">
        <f>'Handicaps-Roster'!D8</f>
        <v>Catalina 28 MK II</v>
      </c>
      <c r="K7" s="9" t="str">
        <f>'Handicaps-Roster'!E8</f>
        <v>Steve Luebkeman</v>
      </c>
      <c r="L7" s="46">
        <f>MIN(MAX('Handicaps-Roster'!J8,'Handicaps-Roster'!L8),'Handicaps-Roster'!M8)</f>
        <v>195</v>
      </c>
      <c r="M7" s="46">
        <f>MIN(MAX('Handicaps-Roster'!K8,'Handicaps-Roster'!N8),'Handicaps-Roster'!O8)</f>
        <v>210</v>
      </c>
      <c r="N7" s="185">
        <f>'Race #1'!P6</f>
        <v>7</v>
      </c>
      <c r="O7" s="274">
        <f>IFERROR('Race #1'!$AB6,"")</f>
        <v>7</v>
      </c>
      <c r="P7" s="183">
        <f>IFERROR('Race #1'!$AC6,"")</f>
        <v>1</v>
      </c>
      <c r="Q7" s="183">
        <f>IFERROR('Race #1'!$AN6,"")</f>
        <v>1</v>
      </c>
      <c r="R7" s="185" t="str">
        <f>'Race #2'!P6</f>
        <v/>
      </c>
      <c r="S7" s="185" t="str">
        <f>IFERROR('Race #2'!$AB6,"")</f>
        <v/>
      </c>
      <c r="T7" s="183">
        <f>IFERROR('Race #2'!$AC6,"")</f>
        <v>0</v>
      </c>
      <c r="U7" s="183">
        <f>IFERROR('Race #2'!$AN6,"")</f>
        <v>0</v>
      </c>
      <c r="V7" s="185" t="str">
        <f>'Race #3'!P6</f>
        <v/>
      </c>
      <c r="W7" s="185" t="str">
        <f>IFERROR('Race #3'!AB6,"")</f>
        <v/>
      </c>
      <c r="X7" s="183">
        <f>IFERROR('Race #3'!$AC6,"")</f>
        <v>0</v>
      </c>
      <c r="Y7" s="183">
        <f>IFERROR('Race #3'!$AN6,"")</f>
        <v>0</v>
      </c>
      <c r="Z7" s="185" t="str">
        <f>'Race #4'!P6</f>
        <v/>
      </c>
      <c r="AA7" s="185" t="str">
        <f>IFERROR('Race #4'!$AB6,"")</f>
        <v/>
      </c>
      <c r="AB7" s="183">
        <f>IFERROR('Race #4'!$AC6,"")</f>
        <v>0</v>
      </c>
      <c r="AC7" s="183">
        <f>IFERROR('Race #4'!$AN6,"")</f>
        <v>0</v>
      </c>
      <c r="AD7" s="183" t="str">
        <f>'Race #5'!P6</f>
        <v/>
      </c>
      <c r="AE7" s="187" t="str">
        <f>IFERROR('Race #5'!$AB6,"")</f>
        <v/>
      </c>
      <c r="AF7" s="183" t="str">
        <f>IFERROR('Race #5'!$AC6,"")</f>
        <v/>
      </c>
      <c r="AG7" s="183" t="str">
        <f>IFERROR('Race #5'!$AN6,"")</f>
        <v/>
      </c>
      <c r="AH7" s="185" t="str">
        <f>'Race #6'!P6</f>
        <v/>
      </c>
      <c r="AI7" s="185" t="str">
        <f>IFERROR('Race #6'!$AB6,"")</f>
        <v/>
      </c>
      <c r="AJ7" s="183">
        <f>IFERROR('Race #6'!$AC6,"")</f>
        <v>0</v>
      </c>
      <c r="AK7" s="183" t="str">
        <f>IFERROR('Race #6'!$AN6,"")</f>
        <v/>
      </c>
      <c r="AL7" s="269" t="str">
        <f>'Race #7'!P6</f>
        <v/>
      </c>
      <c r="AM7" s="187" t="str">
        <f>IFERROR('Race #7'!$AB6,"")</f>
        <v/>
      </c>
      <c r="AN7" s="183" t="str">
        <f>IFERROR('Race #7'!$AC6,"")</f>
        <v/>
      </c>
      <c r="AO7" s="183" t="str">
        <f>IFERROR('Race #7'!$AN6,"")</f>
        <v/>
      </c>
      <c r="AP7" s="185" t="str">
        <f>'Race #8'!P6</f>
        <v/>
      </c>
      <c r="AQ7" s="185" t="str">
        <f>IFERROR('Race #8'!$AB6,"")</f>
        <v/>
      </c>
      <c r="AR7" s="183">
        <f>IFERROR('Race #8'!$AC6,"")</f>
        <v>0</v>
      </c>
      <c r="AS7" s="183" t="str">
        <f>IFERROR('Race #8'!$AN6,"")</f>
        <v/>
      </c>
      <c r="AT7" s="187" t="str">
        <f>'Race #9'!P6</f>
        <v/>
      </c>
      <c r="AU7" s="187" t="str">
        <f>IFERROR('Race #9'!$AB6,"")</f>
        <v/>
      </c>
      <c r="AV7" s="183" t="str">
        <f>IFERROR('Race #9'!$AC6,"")</f>
        <v/>
      </c>
      <c r="AW7" s="183" t="str">
        <f>IFERROR('Race #9'!$AN6,"")</f>
        <v/>
      </c>
      <c r="AX7" s="185" t="str">
        <f>'Race #10'!P6</f>
        <v/>
      </c>
      <c r="AY7" s="185" t="str">
        <f>IFERROR('Race #10'!$AB6,"")</f>
        <v/>
      </c>
      <c r="AZ7" s="185">
        <f>IFERROR('Race #10'!$AC6,"")</f>
        <v>0</v>
      </c>
      <c r="BA7" s="183" t="str">
        <f>IFERROR('Race #10'!$AN6,"")</f>
        <v/>
      </c>
      <c r="BB7" s="185" t="str">
        <f>'Race #11'!P6</f>
        <v/>
      </c>
      <c r="BC7" s="185" t="str">
        <f>IFERROR('Race #11'!$AB6,"")</f>
        <v/>
      </c>
      <c r="BD7" s="185">
        <f>IFERROR('Race #11'!$AC6,"")</f>
        <v>0</v>
      </c>
      <c r="BE7" s="183" t="str">
        <f>IFERROR('Race #11'!$AN6,"")</f>
        <v/>
      </c>
      <c r="BF7" s="87" t="str">
        <f t="shared" si="5"/>
        <v>Magoo</v>
      </c>
      <c r="BG7" s="296">
        <f t="shared" si="8"/>
        <v>1</v>
      </c>
      <c r="BH7" s="296">
        <f>SMALL((P7,T7,X7,AB7,AF7,AJ7,AN7,AR7,AV7,AZ7,BD7),1)+SMALL((P7,T7,X7,AB7,AF7,AJ7,AN7,AR7,AV7,AZ7,BD7),2)</f>
        <v>0</v>
      </c>
      <c r="BI7" s="174">
        <f t="shared" ref="BI7:BI15" si="11">BG7-BH7</f>
        <v>1</v>
      </c>
      <c r="BJ7" s="174">
        <f t="shared" si="6"/>
        <v>10</v>
      </c>
      <c r="BK7" s="296">
        <f t="shared" si="9"/>
        <v>1</v>
      </c>
      <c r="BL7" s="296">
        <f>SMALL((Q7,U7,Y7,AC7,AG7,AK7,AO7,AS7,AW7,BA7,BE7),1)+SMALL((Q7,U7,Y7,AC7,AG7,AK7,AO7,AS7,AW7,BA7,BE7),2)</f>
        <v>0</v>
      </c>
      <c r="BM7" s="390">
        <f t="shared" si="10"/>
        <v>1</v>
      </c>
      <c r="BN7" s="391">
        <f t="shared" si="7"/>
        <v>10</v>
      </c>
    </row>
    <row r="8" spans="1:68" ht="30" customHeight="1" x14ac:dyDescent="0.2">
      <c r="A8" s="50"/>
      <c r="B8" s="371">
        <f t="shared" si="0"/>
        <v>0</v>
      </c>
      <c r="C8" s="270">
        <f t="shared" si="1"/>
        <v>2</v>
      </c>
      <c r="D8" s="270">
        <f t="shared" si="2"/>
        <v>0</v>
      </c>
      <c r="E8" s="270">
        <f t="shared" si="3"/>
        <v>0</v>
      </c>
      <c r="F8" s="270">
        <f>COUNTIF('Race #1'!K7,"Yes")+COUNTIF('Race #2'!K7,"Yes")+COUNTIF('Race #3'!K7,"Yes")+COUNTIF('Race #4'!K7,"Yes")+COUNTIF('Race #5'!K7,"Yes")+COUNTIF('Race #6'!K7,"Yes")+COUNTIF('Race #7'!K7,"Yes")+COUNTIF('Race #8'!K7,"Yes")+COUNTIF('Race #9'!K7,"Yes")+COUNTIF('Race #10'!K7,"Yes")+COUNTIF('Race #11'!K7,"Yes")</f>
        <v>2</v>
      </c>
      <c r="G8" s="270">
        <f t="shared" si="4"/>
        <v>2</v>
      </c>
      <c r="H8" s="271" t="str">
        <f>'Handicaps-Roster'!F9</f>
        <v>269-207-1953</v>
      </c>
      <c r="I8" s="272" t="str">
        <f>'Handicaps-Roster'!C9</f>
        <v>Feng Shui</v>
      </c>
      <c r="J8" s="76" t="str">
        <f>'Handicaps-Roster'!D9</f>
        <v>C&amp;C 34</v>
      </c>
      <c r="K8" s="76" t="str">
        <f>'Handicaps-Roster'!E9</f>
        <v>Mike Finazzo</v>
      </c>
      <c r="L8" s="162">
        <f>MIN(MAX('Handicaps-Roster'!J9,'Handicaps-Roster'!L9),'Handicaps-Roster'!M9)</f>
        <v>175.1</v>
      </c>
      <c r="M8" s="162">
        <f>MIN(MAX('Handicaps-Roster'!K9,'Handicaps-Roster'!N9),'Handicaps-Roster'!O9)</f>
        <v>188.1227776756605</v>
      </c>
      <c r="N8" s="184">
        <f>'Race #1'!P7</f>
        <v>2</v>
      </c>
      <c r="O8" s="184">
        <f>IFERROR('Race #1'!$AB7,"")</f>
        <v>2</v>
      </c>
      <c r="P8" s="182">
        <f>IFERROR('Race #1'!$AC7,"")</f>
        <v>5</v>
      </c>
      <c r="Q8" s="182">
        <f>IFERROR('Race #1'!$AN7,"")</f>
        <v>3</v>
      </c>
      <c r="R8" s="184" t="str">
        <f>'Race #2'!P7</f>
        <v/>
      </c>
      <c r="S8" s="184" t="str">
        <f>IFERROR('Race #2'!$AB7,"")</f>
        <v/>
      </c>
      <c r="T8" s="182">
        <f>IFERROR('Race #2'!$AC7,"")</f>
        <v>0</v>
      </c>
      <c r="U8" s="182">
        <f>IFERROR('Race #2'!$AN7,"")</f>
        <v>0</v>
      </c>
      <c r="V8" s="184">
        <f>'Race #3'!P7</f>
        <v>2</v>
      </c>
      <c r="W8" s="184">
        <f>IFERROR('Race #3'!AB7,"")</f>
        <v>2</v>
      </c>
      <c r="X8" s="182">
        <f>IFERROR('Race #3'!$AC7,"")</f>
        <v>5</v>
      </c>
      <c r="Y8" s="182">
        <f>IFERROR('Race #3'!$AN7,"")</f>
        <v>2</v>
      </c>
      <c r="Z8" s="184" t="str">
        <f>'Race #4'!P7</f>
        <v/>
      </c>
      <c r="AA8" s="184" t="str">
        <f>IFERROR('Race #4'!$AB7,"")</f>
        <v/>
      </c>
      <c r="AB8" s="182">
        <f>IFERROR('Race #4'!$AC7,"")</f>
        <v>0</v>
      </c>
      <c r="AC8" s="182">
        <f>IFERROR('Race #4'!$AN7,"")</f>
        <v>0</v>
      </c>
      <c r="AD8" s="182" t="str">
        <f>'Race #5'!P7</f>
        <v/>
      </c>
      <c r="AE8" s="186" t="str">
        <f>IFERROR('Race #5'!$AB7,"")</f>
        <v/>
      </c>
      <c r="AF8" s="182" t="str">
        <f>IFERROR('Race #5'!$AC7,"")</f>
        <v/>
      </c>
      <c r="AG8" s="182" t="str">
        <f>IFERROR('Race #5'!$AN7,"")</f>
        <v/>
      </c>
      <c r="AH8" s="184" t="str">
        <f>'Race #6'!P7</f>
        <v/>
      </c>
      <c r="AI8" s="184" t="str">
        <f>IFERROR('Race #6'!$AB7,"")</f>
        <v/>
      </c>
      <c r="AJ8" s="182">
        <f>IFERROR('Race #6'!$AC7,"")</f>
        <v>0</v>
      </c>
      <c r="AK8" s="182" t="str">
        <f>IFERROR('Race #6'!$AN7,"")</f>
        <v/>
      </c>
      <c r="AL8" s="273" t="str">
        <f>'Race #7'!P7</f>
        <v/>
      </c>
      <c r="AM8" s="186" t="str">
        <f>IFERROR('Race #7'!$AB7,"")</f>
        <v/>
      </c>
      <c r="AN8" s="182" t="str">
        <f>IFERROR('Race #7'!$AC7,"")</f>
        <v/>
      </c>
      <c r="AO8" s="182" t="str">
        <f>IFERROR('Race #7'!$AN7,"")</f>
        <v/>
      </c>
      <c r="AP8" s="184" t="str">
        <f>'Race #8'!P7</f>
        <v/>
      </c>
      <c r="AQ8" s="184" t="str">
        <f>IFERROR('Race #8'!$AB7,"")</f>
        <v/>
      </c>
      <c r="AR8" s="182">
        <f>IFERROR('Race #8'!$AC7,"")</f>
        <v>0</v>
      </c>
      <c r="AS8" s="182" t="str">
        <f>IFERROR('Race #8'!$AN7,"")</f>
        <v/>
      </c>
      <c r="AT8" s="186" t="str">
        <f>'Race #9'!P7</f>
        <v/>
      </c>
      <c r="AU8" s="186" t="str">
        <f>IFERROR('Race #9'!$AB7,"")</f>
        <v/>
      </c>
      <c r="AV8" s="182" t="str">
        <f>IFERROR('Race #9'!$AC7,"")</f>
        <v/>
      </c>
      <c r="AW8" s="182" t="str">
        <f>IFERROR('Race #9'!$AN7,"")</f>
        <v/>
      </c>
      <c r="AX8" s="184" t="str">
        <f>'Race #10'!P7</f>
        <v/>
      </c>
      <c r="AY8" s="184" t="str">
        <f>IFERROR('Race #10'!$AB7,"")</f>
        <v/>
      </c>
      <c r="AZ8" s="184">
        <f>IFERROR('Race #10'!$AC7,"")</f>
        <v>0</v>
      </c>
      <c r="BA8" s="182" t="str">
        <f>IFERROR('Race #10'!$AN7,"")</f>
        <v/>
      </c>
      <c r="BB8" s="184" t="str">
        <f>'Race #11'!P7</f>
        <v/>
      </c>
      <c r="BC8" s="184" t="str">
        <f>IFERROR('Race #11'!$AB7,"")</f>
        <v/>
      </c>
      <c r="BD8" s="184">
        <f>IFERROR('Race #11'!$AC7,"")</f>
        <v>0</v>
      </c>
      <c r="BE8" s="182" t="str">
        <f>IFERROR('Race #11'!$AN7,"")</f>
        <v/>
      </c>
      <c r="BF8" s="272" t="str">
        <f t="shared" si="5"/>
        <v>Feng Shui</v>
      </c>
      <c r="BG8" s="389">
        <f t="shared" si="8"/>
        <v>10</v>
      </c>
      <c r="BH8" s="389">
        <f>SMALL((P8,T8,X8,AB8,AF8,AJ8,AN8,AR8,AV8,AZ8,BD8),1)+SMALL((P8,T8,X8,AB8,AF8,AJ8,AN8,AR8,AV8,AZ8,BD8),2)</f>
        <v>0</v>
      </c>
      <c r="BI8" s="174">
        <f>BG8-BH8</f>
        <v>10</v>
      </c>
      <c r="BJ8" s="174">
        <f t="shared" si="6"/>
        <v>2</v>
      </c>
      <c r="BK8" s="389">
        <f t="shared" si="9"/>
        <v>5</v>
      </c>
      <c r="BL8" s="389">
        <f>SMALL((Q8,U8,Y8,AC8,AG8,AK8,AO8,AS8,AW8,BA8,BE8),1)+SMALL((Q8,U8,Y8,AC8,AG8,AK8,AO8,AS8,AW8,BA8,BE8),2)</f>
        <v>0</v>
      </c>
      <c r="BM8" s="156">
        <f t="shared" si="10"/>
        <v>5</v>
      </c>
      <c r="BN8" s="370">
        <f t="shared" si="7"/>
        <v>5</v>
      </c>
      <c r="BP8" s="295" t="s">
        <v>338</v>
      </c>
    </row>
    <row r="9" spans="1:68" ht="30" customHeight="1" x14ac:dyDescent="0.2">
      <c r="A9" s="50"/>
      <c r="B9" s="369">
        <f t="shared" si="0"/>
        <v>0</v>
      </c>
      <c r="C9" s="267">
        <f t="shared" si="1"/>
        <v>0</v>
      </c>
      <c r="D9" s="267">
        <f t="shared" si="2"/>
        <v>0</v>
      </c>
      <c r="E9" s="267">
        <f t="shared" si="3"/>
        <v>0</v>
      </c>
      <c r="F9" s="267">
        <f>COUNTIF('Race #1'!K8,"Yes")+COUNTIF('Race #2'!K8,"Yes")+COUNTIF('Race #3'!K8,"Yes")+COUNTIF('Race #4'!K8,"Yes")+COUNTIF('Race #5'!K8,"Yes")+COUNTIF('Race #6'!K8,"Yes")+COUNTIF('Race #7'!K8,"Yes")+COUNTIF('Race #8'!K8,"Yes")+COUNTIF('Race #9'!K8,"Yes")+COUNTIF('Race #10'!K8,"Yes")+COUNTIF('Race #11'!K8,"Yes")</f>
        <v>2</v>
      </c>
      <c r="G9" s="267">
        <f t="shared" si="4"/>
        <v>2</v>
      </c>
      <c r="H9" s="268" t="str">
        <f>'Handicaps-Roster'!F10</f>
        <v>619-292-9113</v>
      </c>
      <c r="I9" s="87" t="str">
        <f>'Handicaps-Roster'!C10</f>
        <v>Grin</v>
      </c>
      <c r="J9" s="9" t="str">
        <f>'Handicaps-Roster'!D10</f>
        <v>Ericson 32-200</v>
      </c>
      <c r="K9" s="9" t="str">
        <f>'Handicaps-Roster'!E10</f>
        <v>John Woomer</v>
      </c>
      <c r="L9" s="46">
        <f>MIN(MAX('Handicaps-Roster'!J10,'Handicaps-Roster'!L10),'Handicaps-Roster'!M10)</f>
        <v>198</v>
      </c>
      <c r="M9" s="46">
        <f>MIN(MAX('Handicaps-Roster'!K10,'Handicaps-Roster'!N10),'Handicaps-Roster'!O10)</f>
        <v>205.37762972886682</v>
      </c>
      <c r="N9" s="185">
        <f>'Race #1'!P8</f>
        <v>6</v>
      </c>
      <c r="O9" s="185">
        <f>IFERROR('Race #1'!$AB8,"")</f>
        <v>6</v>
      </c>
      <c r="P9" s="183">
        <f>IFERROR('Race #1'!$AC8,"")</f>
        <v>1</v>
      </c>
      <c r="Q9" s="183">
        <f>IFERROR('Race #1'!$AN8,"")</f>
        <v>1</v>
      </c>
      <c r="R9" s="185" t="str">
        <f>'Race #2'!P8</f>
        <v/>
      </c>
      <c r="S9" s="185" t="str">
        <f>IFERROR('Race #2'!$AB8,"")</f>
        <v/>
      </c>
      <c r="T9" s="183">
        <f>IFERROR('Race #2'!$AC8,"")</f>
        <v>0</v>
      </c>
      <c r="U9" s="183">
        <f>IFERROR('Race #2'!$AN8,"")</f>
        <v>0</v>
      </c>
      <c r="V9" s="185">
        <f>'Race #3'!P8</f>
        <v>7</v>
      </c>
      <c r="W9" s="185">
        <f>IFERROR('Race #3'!AB8,"")</f>
        <v>7</v>
      </c>
      <c r="X9" s="183">
        <f>IFERROR('Race #3'!$AC8,"")</f>
        <v>1</v>
      </c>
      <c r="Y9" s="183">
        <f>IFERROR('Race #3'!$AN8,"")</f>
        <v>1</v>
      </c>
      <c r="Z9" s="185" t="str">
        <f>'Race #4'!P8</f>
        <v/>
      </c>
      <c r="AA9" s="185" t="str">
        <f>IFERROR('Race #4'!$AB8,"")</f>
        <v/>
      </c>
      <c r="AB9" s="183">
        <f>IFERROR('Race #4'!$AC8,"")</f>
        <v>0</v>
      </c>
      <c r="AC9" s="183">
        <f>IFERROR('Race #4'!$AN8,"")</f>
        <v>0</v>
      </c>
      <c r="AD9" s="183" t="str">
        <f>'Race #5'!P8</f>
        <v/>
      </c>
      <c r="AE9" s="187" t="str">
        <f>IFERROR('Race #5'!$AB8,"")</f>
        <v/>
      </c>
      <c r="AF9" s="183" t="str">
        <f>IFERROR('Race #5'!$AC8,"")</f>
        <v/>
      </c>
      <c r="AG9" s="183" t="str">
        <f>IFERROR('Race #5'!$AN8,"")</f>
        <v/>
      </c>
      <c r="AH9" s="185" t="str">
        <f>'Race #6'!P8</f>
        <v/>
      </c>
      <c r="AI9" s="185" t="str">
        <f>IFERROR('Race #6'!$AB8,"")</f>
        <v/>
      </c>
      <c r="AJ9" s="183">
        <f>IFERROR('Race #6'!$AC8,"")</f>
        <v>0</v>
      </c>
      <c r="AK9" s="183" t="str">
        <f>IFERROR('Race #6'!$AN8,"")</f>
        <v/>
      </c>
      <c r="AL9" s="269" t="str">
        <f>'Race #7'!P8</f>
        <v/>
      </c>
      <c r="AM9" s="187" t="str">
        <f>IFERROR('Race #7'!$AB8,"")</f>
        <v/>
      </c>
      <c r="AN9" s="183" t="str">
        <f>IFERROR('Race #7'!$AC8,"")</f>
        <v/>
      </c>
      <c r="AO9" s="183" t="str">
        <f>IFERROR('Race #7'!$AN8,"")</f>
        <v/>
      </c>
      <c r="AP9" s="185" t="str">
        <f>'Race #8'!P8</f>
        <v/>
      </c>
      <c r="AQ9" s="185" t="str">
        <f>IFERROR('Race #8'!$AB8,"")</f>
        <v/>
      </c>
      <c r="AR9" s="183">
        <f>IFERROR('Race #8'!$AC8,"")</f>
        <v>0</v>
      </c>
      <c r="AS9" s="183" t="str">
        <f>IFERROR('Race #8'!$AN8,"")</f>
        <v/>
      </c>
      <c r="AT9" s="187" t="str">
        <f>'Race #9'!P8</f>
        <v/>
      </c>
      <c r="AU9" s="187" t="str">
        <f>IFERROR('Race #9'!$AB8,"")</f>
        <v/>
      </c>
      <c r="AV9" s="183" t="str">
        <f>IFERROR('Race #9'!$AC8,"")</f>
        <v/>
      </c>
      <c r="AW9" s="183" t="str">
        <f>IFERROR('Race #9'!$AN8,"")</f>
        <v/>
      </c>
      <c r="AX9" s="185" t="str">
        <f>'Race #10'!P8</f>
        <v/>
      </c>
      <c r="AY9" s="185" t="str">
        <f>IFERROR('Race #10'!$AB8,"")</f>
        <v/>
      </c>
      <c r="AZ9" s="185">
        <f>IFERROR('Race #10'!$AC8,"")</f>
        <v>0</v>
      </c>
      <c r="BA9" s="183" t="str">
        <f>IFERROR('Race #10'!$AN8,"")</f>
        <v/>
      </c>
      <c r="BB9" s="185" t="str">
        <f>'Race #11'!P8</f>
        <v/>
      </c>
      <c r="BC9" s="185" t="str">
        <f>IFERROR('Race #11'!$AB8,"")</f>
        <v/>
      </c>
      <c r="BD9" s="185">
        <f>IFERROR('Race #11'!$AC8,"")</f>
        <v>0</v>
      </c>
      <c r="BE9" s="183" t="str">
        <f>IFERROR('Race #11'!$AN8,"")</f>
        <v/>
      </c>
      <c r="BF9" s="87" t="str">
        <f t="shared" si="5"/>
        <v>Grin</v>
      </c>
      <c r="BG9" s="296">
        <f>SUM(P9,T9,X9,AB9,AF9,AJ9,AN9,AR9,AV9,AZ9,BD9)</f>
        <v>2</v>
      </c>
      <c r="BH9" s="296">
        <f>SMALL((P9,T9,X9,AB9,AF9,AJ9,AN9,AR9,AV9,AZ9,BD9),1)+SMALL((P9,T9,X9,AB9,AF9,AJ9,AN9,AR9,AV9,AZ9,BD9),2)</f>
        <v>0</v>
      </c>
      <c r="BI9" s="174">
        <f t="shared" si="11"/>
        <v>2</v>
      </c>
      <c r="BJ9" s="174">
        <f t="shared" si="6"/>
        <v>9</v>
      </c>
      <c r="BK9" s="296">
        <f t="shared" si="9"/>
        <v>2</v>
      </c>
      <c r="BL9" s="296">
        <f>SMALL((Q9,U9,Y9,AC9,AG9,AK9,AO9,AS9,AW9,BA9,BE9),1)+SMALL((Q9,U9,Y9,AC9,AG9,AK9,AO9,AS9,AW9,BA9,BE9),2)</f>
        <v>0</v>
      </c>
      <c r="BM9" s="390">
        <f t="shared" si="10"/>
        <v>2</v>
      </c>
      <c r="BN9" s="391">
        <f t="shared" si="7"/>
        <v>9</v>
      </c>
    </row>
    <row r="10" spans="1:68" ht="30" customHeight="1" x14ac:dyDescent="0.2">
      <c r="A10" s="50"/>
      <c r="B10" s="371">
        <f t="shared" si="0"/>
        <v>0</v>
      </c>
      <c r="C10" s="270">
        <f t="shared" si="1"/>
        <v>0</v>
      </c>
      <c r="D10" s="270">
        <f t="shared" si="2"/>
        <v>1</v>
      </c>
      <c r="E10" s="270">
        <f t="shared" si="3"/>
        <v>0</v>
      </c>
      <c r="F10" s="270">
        <f>COUNTIF('Race #1'!K9,"Yes")+COUNTIF('Race #2'!K9,"Yes")+COUNTIF('Race #3'!K9,"Yes")+COUNTIF('Race #4'!K9,"Yes")+COUNTIF('Race #5'!K9,"Yes")+COUNTIF('Race #6'!K9,"Yes")+COUNTIF('Race #7'!K9,"Yes")+COUNTIF('Race #8'!K9,"Yes")+COUNTIF('Race #9'!K9,"Yes")+COUNTIF('Race #10'!K9,"Yes")+COUNTIF('Race #11'!K9,"Yes")</f>
        <v>2</v>
      </c>
      <c r="G10" s="270">
        <f t="shared" si="4"/>
        <v>2</v>
      </c>
      <c r="H10" s="271" t="str">
        <f>'Handicaps-Roster'!F11</f>
        <v>415-308-3418</v>
      </c>
      <c r="I10" s="272" t="str">
        <f>'Handicaps-Roster'!C11</f>
        <v>Kristin B II</v>
      </c>
      <c r="J10" s="76" t="str">
        <f>'Handicaps-Roster'!D11</f>
        <v>Catalina 36 TM</v>
      </c>
      <c r="K10" s="76" t="str">
        <f>'Handicaps-Roster'!E11</f>
        <v>Mike Cann</v>
      </c>
      <c r="L10" s="162">
        <f>MIN(MAX('Handicaps-Roster'!J11,'Handicaps-Roster'!L11),'Handicaps-Roster'!M11)</f>
        <v>179.3</v>
      </c>
      <c r="M10" s="162">
        <f>MIN(MAX('Handicaps-Roster'!K11,'Handicaps-Roster'!N11),'Handicaps-Roster'!O11)</f>
        <v>189.37685101517241</v>
      </c>
      <c r="N10" s="184">
        <f>'Race #1'!P9</f>
        <v>4</v>
      </c>
      <c r="O10" s="184">
        <f>IFERROR('Race #1'!$AB9,"")</f>
        <v>4</v>
      </c>
      <c r="P10" s="182">
        <f>IFERROR('Race #1'!$AC9,"")</f>
        <v>3</v>
      </c>
      <c r="Q10" s="182">
        <f>IFERROR('Race #1'!$AN9,"")</f>
        <v>2</v>
      </c>
      <c r="R10" s="184" t="str">
        <f>'Race #2'!P9</f>
        <v/>
      </c>
      <c r="S10" s="184" t="str">
        <f>IFERROR('Race #2'!$AB9,"")</f>
        <v/>
      </c>
      <c r="T10" s="182">
        <f>IFERROR('Race #2'!$AC9,"")</f>
        <v>0</v>
      </c>
      <c r="U10" s="182">
        <f>IFERROR('Race #2'!$AN9,"")</f>
        <v>0</v>
      </c>
      <c r="V10" s="184">
        <f>'Race #3'!P9</f>
        <v>3</v>
      </c>
      <c r="W10" s="184">
        <f>IFERROR('Race #3'!AB9,"")</f>
        <v>3</v>
      </c>
      <c r="X10" s="182">
        <f>IFERROR('Race #3'!$AC9,"")</f>
        <v>4</v>
      </c>
      <c r="Y10" s="182">
        <f>IFERROR('Race #3'!$AN9,"")</f>
        <v>1</v>
      </c>
      <c r="Z10" s="184" t="str">
        <f>'Race #4'!P9</f>
        <v/>
      </c>
      <c r="AA10" s="184" t="str">
        <f>IFERROR('Race #4'!$AB9,"")</f>
        <v/>
      </c>
      <c r="AB10" s="182">
        <f>IFERROR('Race #4'!$AC9,"")</f>
        <v>0</v>
      </c>
      <c r="AC10" s="182">
        <f>IFERROR('Race #4'!$AN9,"")</f>
        <v>0</v>
      </c>
      <c r="AD10" s="182" t="str">
        <f>'Race #5'!P9</f>
        <v/>
      </c>
      <c r="AE10" s="186" t="str">
        <f>IFERROR('Race #5'!$AB9,"")</f>
        <v/>
      </c>
      <c r="AF10" s="182" t="str">
        <f>IFERROR('Race #5'!$AC9,"")</f>
        <v/>
      </c>
      <c r="AG10" s="182" t="str">
        <f>IFERROR('Race #5'!$AN9,"")</f>
        <v/>
      </c>
      <c r="AH10" s="184" t="str">
        <f>'Race #6'!P9</f>
        <v/>
      </c>
      <c r="AI10" s="184" t="str">
        <f>IFERROR('Race #6'!$AB9,"")</f>
        <v/>
      </c>
      <c r="AJ10" s="182">
        <f>IFERROR('Race #6'!$AC9,"")</f>
        <v>0</v>
      </c>
      <c r="AK10" s="182" t="str">
        <f>IFERROR('Race #6'!$AN9,"")</f>
        <v/>
      </c>
      <c r="AL10" s="273" t="str">
        <f>'Race #7'!P9</f>
        <v/>
      </c>
      <c r="AM10" s="186" t="str">
        <f>IFERROR('Race #7'!$AB9,"")</f>
        <v/>
      </c>
      <c r="AN10" s="182" t="str">
        <f>IFERROR('Race #7'!$AC9,"")</f>
        <v/>
      </c>
      <c r="AO10" s="182" t="str">
        <f>IFERROR('Race #7'!$AN9,"")</f>
        <v/>
      </c>
      <c r="AP10" s="184" t="str">
        <f>'Race #8'!P9</f>
        <v/>
      </c>
      <c r="AQ10" s="184" t="str">
        <f>IFERROR('Race #8'!$AB9,"")</f>
        <v/>
      </c>
      <c r="AR10" s="182">
        <f>IFERROR('Race #8'!$AC9,"")</f>
        <v>0</v>
      </c>
      <c r="AS10" s="182" t="str">
        <f>IFERROR('Race #8'!$AN9,"")</f>
        <v/>
      </c>
      <c r="AT10" s="186" t="str">
        <f>'Race #9'!P9</f>
        <v/>
      </c>
      <c r="AU10" s="186" t="str">
        <f>IFERROR('Race #9'!$AB9,"")</f>
        <v/>
      </c>
      <c r="AV10" s="182" t="str">
        <f>IFERROR('Race #9'!$AC9,"")</f>
        <v/>
      </c>
      <c r="AW10" s="182" t="str">
        <f>IFERROR('Race #9'!$AN9,"")</f>
        <v/>
      </c>
      <c r="AX10" s="184" t="str">
        <f>'Race #10'!P9</f>
        <v/>
      </c>
      <c r="AY10" s="184" t="str">
        <f>IFERROR('Race #10'!$AB9,"")</f>
        <v/>
      </c>
      <c r="AZ10" s="184">
        <f>IFERROR('Race #10'!$AC9,"")</f>
        <v>0</v>
      </c>
      <c r="BA10" s="182" t="str">
        <f>IFERROR('Race #10'!$AN9,"")</f>
        <v/>
      </c>
      <c r="BB10" s="184" t="str">
        <f>'Race #11'!P9</f>
        <v/>
      </c>
      <c r="BC10" s="184" t="str">
        <f>IFERROR('Race #11'!$AB9,"")</f>
        <v/>
      </c>
      <c r="BD10" s="184">
        <f>IFERROR('Race #11'!$AC9,"")</f>
        <v>0</v>
      </c>
      <c r="BE10" s="182" t="str">
        <f>IFERROR('Race #11'!$AN9,"")</f>
        <v/>
      </c>
      <c r="BF10" s="272" t="str">
        <f t="shared" si="5"/>
        <v>Kristin B II</v>
      </c>
      <c r="BG10" s="389">
        <f>SUM(P10,T10,X10,AB10,AF10,AJ10,AN10,AR10,AV10,AZ10,BD10)</f>
        <v>7</v>
      </c>
      <c r="BH10" s="389">
        <f>SMALL((P10,T10,X10,AB10,AF10,AJ10,AN10,AR10,AV10,AZ10,BD10),1)+SMALL((P10,T10,X10,AB10,AF10,AJ10,AN10,AR10,AV10,AZ10,BD10),2)</f>
        <v>0</v>
      </c>
      <c r="BI10" s="174">
        <f t="shared" si="11"/>
        <v>7</v>
      </c>
      <c r="BJ10" s="174">
        <f t="shared" si="6"/>
        <v>3</v>
      </c>
      <c r="BK10" s="389">
        <f t="shared" si="9"/>
        <v>3</v>
      </c>
      <c r="BL10" s="389">
        <f>SMALL((Q10,U10,Y10,AC10,AG10,AK10,AO10,AS10,AW10,BA10,BE10),1)+SMALL((Q10,U10,Y10,AC10,AG10,AK10,AO10,AS10,AW10,BA10,BE10),2)</f>
        <v>0</v>
      </c>
      <c r="BM10" s="156">
        <f t="shared" si="10"/>
        <v>3</v>
      </c>
      <c r="BN10" s="370">
        <f t="shared" si="7"/>
        <v>7</v>
      </c>
      <c r="BP10" s="295" t="s">
        <v>338</v>
      </c>
    </row>
    <row r="11" spans="1:68" ht="30" customHeight="1" x14ac:dyDescent="0.2">
      <c r="A11" s="50"/>
      <c r="B11" s="369">
        <f t="shared" si="0"/>
        <v>0</v>
      </c>
      <c r="C11" s="267">
        <f t="shared" si="1"/>
        <v>0</v>
      </c>
      <c r="D11" s="267">
        <f t="shared" si="2"/>
        <v>0</v>
      </c>
      <c r="E11" s="267">
        <f t="shared" si="3"/>
        <v>0</v>
      </c>
      <c r="F11" s="267">
        <f>COUNTIF('Race #1'!K10,"Yes")+COUNTIF('Race #2'!K10,"Yes")+COUNTIF('Race #3'!K10,"Yes")+COUNTIF('Race #4'!K10,"Yes")+COUNTIF('Race #5'!K10,"Yes")+COUNTIF('Race #6'!K10,"Yes")+COUNTIF('Race #7'!K10,"Yes")+COUNTIF('Race #8'!K10,"Yes")+COUNTIF('Race #9'!K10,"Yes")+COUNTIF('Race #10'!K10,"Yes")+COUNTIF('Race #11'!K10,"Yes")</f>
        <v>1</v>
      </c>
      <c r="G11" s="267">
        <f t="shared" si="4"/>
        <v>1</v>
      </c>
      <c r="H11" s="268" t="str">
        <f>'Handicaps-Roster'!F12</f>
        <v>336-480-6122</v>
      </c>
      <c r="I11" s="87" t="str">
        <f>'Handicaps-Roster'!C12</f>
        <v>MacGuffin</v>
      </c>
      <c r="J11" s="9" t="str">
        <f>'Handicaps-Roster'!D12</f>
        <v>Shock Harbor 25</v>
      </c>
      <c r="K11" s="9" t="str">
        <f>'Handicaps-Roster'!E12</f>
        <v>Darryl Rosenbaum</v>
      </c>
      <c r="L11" s="46">
        <f>MIN(MAX('Handicaps-Roster'!J12,'Handicaps-Roster'!L12),'Handicaps-Roster'!M12)</f>
        <v>204</v>
      </c>
      <c r="M11" s="46">
        <f>MIN(MAX('Handicaps-Roster'!K12,'Handicaps-Roster'!N12),'Handicaps-Roster'!O12)</f>
        <v>204</v>
      </c>
      <c r="N11" s="185" t="str">
        <f>'Race #1'!P10</f>
        <v/>
      </c>
      <c r="O11" s="185" t="str">
        <f>IFERROR('Race #1'!$AB10,"")</f>
        <v/>
      </c>
      <c r="P11" s="183">
        <f>IFERROR('Race #1'!$AC10,"")</f>
        <v>0</v>
      </c>
      <c r="Q11" s="183">
        <f>IFERROR('Race #1'!$AN10,"")</f>
        <v>0</v>
      </c>
      <c r="R11" s="185" t="str">
        <f>'Race #2'!P10</f>
        <v/>
      </c>
      <c r="S11" s="185" t="str">
        <f>IFERROR('Race #2'!$AB10,"")</f>
        <v/>
      </c>
      <c r="T11" s="183">
        <f>IFERROR('Race #2'!$AC10,"")</f>
        <v>0</v>
      </c>
      <c r="U11" s="183">
        <f>IFERROR('Race #2'!$AN10,"")</f>
        <v>0</v>
      </c>
      <c r="V11" s="185">
        <f>'Race #3'!P10</f>
        <v>4</v>
      </c>
      <c r="W11" s="185">
        <f>IFERROR('Race #3'!AB10,"")</f>
        <v>4</v>
      </c>
      <c r="X11" s="183">
        <f>IFERROR('Race #3'!$AC10,"")</f>
        <v>3</v>
      </c>
      <c r="Y11" s="183">
        <f>IFERROR('Race #3'!$AN10,"")</f>
        <v>3</v>
      </c>
      <c r="Z11" s="185" t="str">
        <f>'Race #4'!P10</f>
        <v/>
      </c>
      <c r="AA11" s="185" t="str">
        <f>IFERROR('Race #4'!$AB10,"")</f>
        <v/>
      </c>
      <c r="AB11" s="183">
        <f>IFERROR('Race #4'!$AC10,"")</f>
        <v>0</v>
      </c>
      <c r="AC11" s="183">
        <f>IFERROR('Race #4'!$AN10,"")</f>
        <v>0</v>
      </c>
      <c r="AD11" s="183" t="str">
        <f>'Race #5'!P10</f>
        <v/>
      </c>
      <c r="AE11" s="187" t="str">
        <f>IFERROR('Race #5'!$AB10,"")</f>
        <v/>
      </c>
      <c r="AF11" s="183" t="str">
        <f>IFERROR('Race #5'!$AC10,"")</f>
        <v/>
      </c>
      <c r="AG11" s="183" t="str">
        <f>IFERROR('Race #5'!$AN10,"")</f>
        <v/>
      </c>
      <c r="AH11" s="185" t="str">
        <f>'Race #6'!P10</f>
        <v/>
      </c>
      <c r="AI11" s="185" t="str">
        <f>IFERROR('Race #6'!$AB10,"")</f>
        <v/>
      </c>
      <c r="AJ11" s="183">
        <f>IFERROR('Race #6'!$AC10,"")</f>
        <v>0</v>
      </c>
      <c r="AK11" s="183" t="str">
        <f>IFERROR('Race #6'!$AN10,"")</f>
        <v/>
      </c>
      <c r="AL11" s="269" t="str">
        <f>'Race #7'!P10</f>
        <v/>
      </c>
      <c r="AM11" s="187" t="str">
        <f>IFERROR('Race #7'!$AB10,"")</f>
        <v/>
      </c>
      <c r="AN11" s="183" t="str">
        <f>IFERROR('Race #7'!$AC10,"")</f>
        <v/>
      </c>
      <c r="AO11" s="183" t="str">
        <f>IFERROR('Race #7'!$AN10,"")</f>
        <v/>
      </c>
      <c r="AP11" s="185" t="str">
        <f>'Race #8'!P10</f>
        <v/>
      </c>
      <c r="AQ11" s="185" t="str">
        <f>IFERROR('Race #8'!$AB10,"")</f>
        <v/>
      </c>
      <c r="AR11" s="183">
        <f>IFERROR('Race #8'!$AC10,"")</f>
        <v>0</v>
      </c>
      <c r="AS11" s="183" t="str">
        <f>IFERROR('Race #8'!$AN10,"")</f>
        <v/>
      </c>
      <c r="AT11" s="187" t="str">
        <f>'Race #9'!P10</f>
        <v/>
      </c>
      <c r="AU11" s="187" t="str">
        <f>IFERROR('Race #9'!$AB10,"")</f>
        <v/>
      </c>
      <c r="AV11" s="183" t="str">
        <f>IFERROR('Race #9'!$AC10,"")</f>
        <v/>
      </c>
      <c r="AW11" s="183" t="str">
        <f>IFERROR('Race #9'!$AN10,"")</f>
        <v/>
      </c>
      <c r="AX11" s="185" t="str">
        <f>'Race #10'!P10</f>
        <v/>
      </c>
      <c r="AY11" s="185" t="str">
        <f>IFERROR('Race #10'!$AB10,"")</f>
        <v/>
      </c>
      <c r="AZ11" s="185">
        <f>IFERROR('Race #10'!$AC10,"")</f>
        <v>0</v>
      </c>
      <c r="BA11" s="183" t="str">
        <f>IFERROR('Race #10'!$AN10,"")</f>
        <v/>
      </c>
      <c r="BB11" s="185" t="str">
        <f>'Race #11'!P10</f>
        <v/>
      </c>
      <c r="BC11" s="185" t="str">
        <f>IFERROR('Race #11'!$AB10,"")</f>
        <v/>
      </c>
      <c r="BD11" s="185">
        <f>IFERROR('Race #11'!$AC10,"")</f>
        <v>0</v>
      </c>
      <c r="BE11" s="183" t="str">
        <f>IFERROR('Race #11'!$AN10,"")</f>
        <v/>
      </c>
      <c r="BF11" s="87" t="str">
        <f t="shared" si="5"/>
        <v>MacGuffin</v>
      </c>
      <c r="BG11" s="296">
        <f t="shared" si="8"/>
        <v>3</v>
      </c>
      <c r="BH11" s="296">
        <f>SMALL((P11,T11,X11,AB11,AF11,AJ11,AN11,AR11,AV11,AZ11,BD11),1)+SMALL((P11,T11,X11,AB11,AF11,AJ11,AN11,AR11,AV11,AZ11,BD11),2)</f>
        <v>0</v>
      </c>
      <c r="BI11" s="174">
        <f t="shared" si="11"/>
        <v>3</v>
      </c>
      <c r="BJ11" s="174">
        <f t="shared" si="6"/>
        <v>7</v>
      </c>
      <c r="BK11" s="296">
        <f t="shared" si="9"/>
        <v>3</v>
      </c>
      <c r="BL11" s="296">
        <f>SMALL((Q11,U11,Y11,AC11,AG11,AK11,AO11,AS11,AW11,BA11,BE11),1)+SMALL((Q11,U11,Y11,AC11,AG11,AK11,AO11,AS11,AW11,BA11,BE11),2)</f>
        <v>0</v>
      </c>
      <c r="BM11" s="390">
        <f t="shared" si="10"/>
        <v>3</v>
      </c>
      <c r="BN11" s="391">
        <f t="shared" si="7"/>
        <v>7</v>
      </c>
    </row>
    <row r="12" spans="1:68" ht="30" customHeight="1" x14ac:dyDescent="0.2">
      <c r="A12" s="50"/>
      <c r="B12" s="371">
        <f t="shared" si="0"/>
        <v>0</v>
      </c>
      <c r="C12" s="270">
        <f t="shared" si="1"/>
        <v>0</v>
      </c>
      <c r="D12" s="270">
        <f t="shared" si="2"/>
        <v>0</v>
      </c>
      <c r="E12" s="270">
        <f t="shared" si="3"/>
        <v>0</v>
      </c>
      <c r="F12" s="270">
        <f>COUNTIF('Race #1'!K11,"Yes")+COUNTIF('Race #2'!K11,"Yes")+COUNTIF('Race #3'!K11,"Yes")+COUNTIF('Race #4'!K11,"Yes")+COUNTIF('Race #5'!K11,"Yes")+COUNTIF('Race #6'!K11,"Yes")+COUNTIF('Race #7'!K11,"Yes")+COUNTIF('Race #8'!K11,"Yes")+COUNTIF('Race #9'!K11,"Yes")+COUNTIF('Race #10'!K11,"Yes")+COUNTIF('Race #11'!K11,"Yes")</f>
        <v>1</v>
      </c>
      <c r="G12" s="270">
        <f t="shared" si="4"/>
        <v>1</v>
      </c>
      <c r="H12" s="271" t="str">
        <f>'Handicaps-Roster'!F13</f>
        <v>916-799-3351</v>
      </c>
      <c r="I12" s="272" t="str">
        <f>'Handicaps-Roster'!C13</f>
        <v>Mirabelle</v>
      </c>
      <c r="J12" s="76" t="str">
        <f>'Handicaps-Roster'!D13</f>
        <v>Cape Dory 32</v>
      </c>
      <c r="K12" s="76" t="str">
        <f>'Handicaps-Roster'!E13</f>
        <v>Campbell McLeod</v>
      </c>
      <c r="L12" s="162">
        <f>MIN(MAX('Handicaps-Roster'!J13,'Handicaps-Roster'!L13),'Handicaps-Roster'!M13)</f>
        <v>233.5</v>
      </c>
      <c r="M12" s="162">
        <f>MIN(MAX('Handicaps-Roster'!K13,'Handicaps-Roster'!N13),'Handicaps-Roster'!O13)</f>
        <v>244.63132491716539</v>
      </c>
      <c r="N12" s="184" t="str">
        <f>'Race #1'!P11</f>
        <v/>
      </c>
      <c r="O12" s="184" t="str">
        <f>IFERROR('Race #1'!$AB11,"")</f>
        <v/>
      </c>
      <c r="P12" s="182">
        <f>IFERROR('Race #1'!$AC11,"")</f>
        <v>0</v>
      </c>
      <c r="Q12" s="182">
        <f>IFERROR('Race #1'!$AN11,"")</f>
        <v>0</v>
      </c>
      <c r="R12" s="184" t="str">
        <f>'Race #2'!P11</f>
        <v/>
      </c>
      <c r="S12" s="184" t="str">
        <f>IFERROR('Race #2'!$AB11,"")</f>
        <v/>
      </c>
      <c r="T12" s="182">
        <f>IFERROR('Race #2'!$AC11,"")</f>
        <v>0</v>
      </c>
      <c r="U12" s="182">
        <f>IFERROR('Race #2'!$AN11,"")</f>
        <v>0</v>
      </c>
      <c r="V12" s="184">
        <f>'Race #3'!P11</f>
        <v>6</v>
      </c>
      <c r="W12" s="184">
        <f>IFERROR('Race #3'!AB11,"")</f>
        <v>6</v>
      </c>
      <c r="X12" s="182">
        <f>IFERROR('Race #3'!$AC11,"")</f>
        <v>1</v>
      </c>
      <c r="Y12" s="182">
        <f>IFERROR('Race #3'!$AN11,"")</f>
        <v>1</v>
      </c>
      <c r="Z12" s="184" t="str">
        <f>'Race #4'!P11</f>
        <v/>
      </c>
      <c r="AA12" s="184" t="str">
        <f>IFERROR('Race #4'!$AB11,"")</f>
        <v/>
      </c>
      <c r="AB12" s="182">
        <f>IFERROR('Race #4'!$AC11,"")</f>
        <v>0</v>
      </c>
      <c r="AC12" s="182">
        <f>IFERROR('Race #4'!$AN11,"")</f>
        <v>0</v>
      </c>
      <c r="AD12" s="182" t="str">
        <f>'Race #5'!P11</f>
        <v/>
      </c>
      <c r="AE12" s="186" t="str">
        <f>IFERROR('Race #5'!$AB11,"")</f>
        <v/>
      </c>
      <c r="AF12" s="182" t="str">
        <f>IFERROR('Race #5'!$AC11,"")</f>
        <v/>
      </c>
      <c r="AG12" s="182" t="str">
        <f>IFERROR('Race #5'!$AN11,"")</f>
        <v/>
      </c>
      <c r="AH12" s="184" t="str">
        <f>'Race #6'!P11</f>
        <v/>
      </c>
      <c r="AI12" s="184" t="str">
        <f>IFERROR('Race #6'!$AB11,"")</f>
        <v/>
      </c>
      <c r="AJ12" s="182">
        <f>IFERROR('Race #6'!$AC11,"")</f>
        <v>0</v>
      </c>
      <c r="AK12" s="182" t="str">
        <f>IFERROR('Race #6'!$AN11,"")</f>
        <v/>
      </c>
      <c r="AL12" s="273" t="str">
        <f>'Race #7'!P11</f>
        <v/>
      </c>
      <c r="AM12" s="186" t="str">
        <f>IFERROR('Race #7'!$AB11,"")</f>
        <v/>
      </c>
      <c r="AN12" s="182" t="str">
        <f>IFERROR('Race #7'!$AC11,"")</f>
        <v/>
      </c>
      <c r="AO12" s="182" t="str">
        <f>IFERROR('Race #7'!$AN11,"")</f>
        <v/>
      </c>
      <c r="AP12" s="184" t="str">
        <f>'Race #8'!P11</f>
        <v/>
      </c>
      <c r="AQ12" s="184" t="str">
        <f>IFERROR('Race #8'!$AB11,"")</f>
        <v/>
      </c>
      <c r="AR12" s="182">
        <f>IFERROR('Race #8'!$AC11,"")</f>
        <v>0</v>
      </c>
      <c r="AS12" s="182" t="str">
        <f>IFERROR('Race #8'!$AN11,"")</f>
        <v/>
      </c>
      <c r="AT12" s="186" t="str">
        <f>'Race #9'!P11</f>
        <v/>
      </c>
      <c r="AU12" s="186" t="str">
        <f>IFERROR('Race #9'!$AB11,"")</f>
        <v/>
      </c>
      <c r="AV12" s="182" t="str">
        <f>IFERROR('Race #9'!$AC11,"")</f>
        <v/>
      </c>
      <c r="AW12" s="182" t="str">
        <f>IFERROR('Race #9'!$AN11,"")</f>
        <v/>
      </c>
      <c r="AX12" s="184" t="str">
        <f>'Race #10'!P11</f>
        <v/>
      </c>
      <c r="AY12" s="184" t="str">
        <f>IFERROR('Race #10'!$AB11,"")</f>
        <v/>
      </c>
      <c r="AZ12" s="184">
        <f>IFERROR('Race #10'!$AC11,"")</f>
        <v>0</v>
      </c>
      <c r="BA12" s="182" t="str">
        <f>IFERROR('Race #10'!$AN11,"")</f>
        <v/>
      </c>
      <c r="BB12" s="184" t="str">
        <f>'Race #11'!P11</f>
        <v/>
      </c>
      <c r="BC12" s="184" t="str">
        <f>IFERROR('Race #11'!$AB11,"")</f>
        <v/>
      </c>
      <c r="BD12" s="184">
        <f>IFERROR('Race #11'!$AC11,"")</f>
        <v>0</v>
      </c>
      <c r="BE12" s="182" t="str">
        <f>IFERROR('Race #11'!$AN11,"")</f>
        <v/>
      </c>
      <c r="BF12" s="272" t="str">
        <f t="shared" si="5"/>
        <v>Mirabelle</v>
      </c>
      <c r="BG12" s="389">
        <f t="shared" si="8"/>
        <v>1</v>
      </c>
      <c r="BH12" s="389">
        <f>SMALL((P12,T12,X12,AB12,AF12,AJ12,AN12,AR12,AV12,AZ12,BD12),1)+SMALL((P12,T12,X12,AB12,AF12,AJ12,AN12,AR12,AV12,AZ12,BD12),2)</f>
        <v>0</v>
      </c>
      <c r="BI12" s="174">
        <f t="shared" si="11"/>
        <v>1</v>
      </c>
      <c r="BJ12" s="174">
        <f t="shared" si="6"/>
        <v>10</v>
      </c>
      <c r="BK12" s="389">
        <f t="shared" si="9"/>
        <v>1</v>
      </c>
      <c r="BL12" s="389">
        <f>SMALL((Q12,U12,Y12,AC12,AG12,AK12,AO12,AS12,AW12,BA12,BE12),1)+SMALL((Q12,U12,Y12,AC12,AG12,AK12,AO12,AS12,AW12,BA12,BE12),2)</f>
        <v>0</v>
      </c>
      <c r="BM12" s="390">
        <f t="shared" si="10"/>
        <v>1</v>
      </c>
      <c r="BN12" s="391">
        <f t="shared" si="7"/>
        <v>10</v>
      </c>
    </row>
    <row r="13" spans="1:68" ht="30" customHeight="1" x14ac:dyDescent="0.2">
      <c r="A13" s="50"/>
      <c r="B13" s="369">
        <f t="shared" si="0"/>
        <v>0</v>
      </c>
      <c r="C13" s="267">
        <f t="shared" si="1"/>
        <v>0</v>
      </c>
      <c r="D13" s="267">
        <f t="shared" si="2"/>
        <v>1</v>
      </c>
      <c r="E13" s="267">
        <f t="shared" si="3"/>
        <v>0</v>
      </c>
      <c r="F13" s="267">
        <f>COUNTIF('Race #1'!K12,"Yes")+COUNTIF('Race #2'!K12,"Yes")+COUNTIF('Race #3'!K12,"Yes")+COUNTIF('Race #4'!K12,"Yes")+COUNTIF('Race #5'!K12,"Yes")+COUNTIF('Race #6'!K12,"Yes")+COUNTIF('Race #7'!K12,"Yes")+COUNTIF('Race #8'!K12,"Yes")+COUNTIF('Race #9'!K12,"Yes")+COUNTIF('Race #10'!K12,"Yes")+COUNTIF('Race #11'!K12,"Yes")</f>
        <v>2</v>
      </c>
      <c r="G13" s="267">
        <f t="shared" si="4"/>
        <v>2</v>
      </c>
      <c r="H13" s="268" t="str">
        <f>'Handicaps-Roster'!F14</f>
        <v>231-944-9065</v>
      </c>
      <c r="I13" s="87" t="str">
        <f>'Handicaps-Roster'!C14</f>
        <v>Outrageous</v>
      </c>
      <c r="J13" s="9" t="str">
        <f>'Handicaps-Roster'!D14</f>
        <v>Tanzer 22</v>
      </c>
      <c r="K13" s="9" t="str">
        <f>'Handicaps-Roster'!E14</f>
        <v>Don Webb</v>
      </c>
      <c r="L13" s="46">
        <f>MIN(MAX('Handicaps-Roster'!J14,'Handicaps-Roster'!L14),'Handicaps-Roster'!M14)</f>
        <v>252.6</v>
      </c>
      <c r="M13" s="46">
        <f>MIN(MAX('Handicaps-Roster'!K14,'Handicaps-Roster'!N14),'Handicaps-Roster'!O14)</f>
        <v>255.17561647534984</v>
      </c>
      <c r="N13" s="185">
        <f>'Race #1'!P12</f>
        <v>3</v>
      </c>
      <c r="O13" s="185">
        <f>IFERROR('Race #1'!$AB12,"")</f>
        <v>3</v>
      </c>
      <c r="P13" s="183">
        <f>IFERROR('Race #1'!$AC12,"")</f>
        <v>4</v>
      </c>
      <c r="Q13" s="183">
        <f>IFERROR('Race #1'!$AN12,"")</f>
        <v>5</v>
      </c>
      <c r="R13" s="185" t="str">
        <f>'Race #2'!P12</f>
        <v/>
      </c>
      <c r="S13" s="185" t="str">
        <f>IFERROR('Race #2'!$AB12,"")</f>
        <v/>
      </c>
      <c r="T13" s="183">
        <f>IFERROR('Race #2'!$AC12,"")</f>
        <v>0</v>
      </c>
      <c r="U13" s="183">
        <f>IFERROR('Race #2'!$AN12,"")</f>
        <v>0</v>
      </c>
      <c r="V13" s="185">
        <f>'Race #3'!P12</f>
        <v>5</v>
      </c>
      <c r="W13" s="185">
        <f>IFERROR('Race #3'!AB12,"")</f>
        <v>5</v>
      </c>
      <c r="X13" s="183">
        <f>IFERROR('Race #3'!$AC12,"")</f>
        <v>2</v>
      </c>
      <c r="Y13" s="183">
        <f>IFERROR('Race #3'!$AN12,"")</f>
        <v>5</v>
      </c>
      <c r="Z13" s="185" t="str">
        <f>'Race #4'!P12</f>
        <v/>
      </c>
      <c r="AA13" s="185" t="str">
        <f>IFERROR('Race #4'!$AB12,"")</f>
        <v/>
      </c>
      <c r="AB13" s="183">
        <f>IFERROR('Race #4'!$AC12,"")</f>
        <v>1</v>
      </c>
      <c r="AC13" s="183">
        <f>IFERROR('Race #4'!$AN12,"")</f>
        <v>0</v>
      </c>
      <c r="AD13" s="183" t="str">
        <f>'Race #5'!P12</f>
        <v/>
      </c>
      <c r="AE13" s="187" t="str">
        <f>IFERROR('Race #5'!$AB12,"")</f>
        <v/>
      </c>
      <c r="AF13" s="183" t="str">
        <f>IFERROR('Race #5'!$AC12,"")</f>
        <v/>
      </c>
      <c r="AG13" s="183" t="str">
        <f>IFERROR('Race #5'!$AN12,"")</f>
        <v/>
      </c>
      <c r="AH13" s="185" t="str">
        <f>'Race #6'!P12</f>
        <v/>
      </c>
      <c r="AI13" s="185" t="str">
        <f>IFERROR('Race #6'!$AB12,"")</f>
        <v/>
      </c>
      <c r="AJ13" s="183">
        <f>IFERROR('Race #6'!$AC12,"")</f>
        <v>0</v>
      </c>
      <c r="AK13" s="183" t="str">
        <f>IFERROR('Race #6'!$AN12,"")</f>
        <v/>
      </c>
      <c r="AL13" s="269" t="str">
        <f>'Race #7'!P12</f>
        <v/>
      </c>
      <c r="AM13" s="187" t="str">
        <f>IFERROR('Race #7'!$AB12,"")</f>
        <v/>
      </c>
      <c r="AN13" s="183" t="str">
        <f>IFERROR('Race #7'!$AC12,"")</f>
        <v/>
      </c>
      <c r="AO13" s="183" t="str">
        <f>IFERROR('Race #7'!$AN12,"")</f>
        <v/>
      </c>
      <c r="AP13" s="185" t="str">
        <f>'Race #8'!P12</f>
        <v/>
      </c>
      <c r="AQ13" s="185" t="str">
        <f>IFERROR('Race #8'!$AB12,"")</f>
        <v/>
      </c>
      <c r="AR13" s="183">
        <f>IFERROR('Race #8'!$AC12,"")</f>
        <v>0</v>
      </c>
      <c r="AS13" s="183" t="str">
        <f>IFERROR('Race #8'!$AN12,"")</f>
        <v/>
      </c>
      <c r="AT13" s="187" t="str">
        <f>'Race #9'!P12</f>
        <v/>
      </c>
      <c r="AU13" s="187" t="str">
        <f>IFERROR('Race #9'!$AB12,"")</f>
        <v/>
      </c>
      <c r="AV13" s="183" t="str">
        <f>IFERROR('Race #9'!$AC12,"")</f>
        <v/>
      </c>
      <c r="AW13" s="183" t="str">
        <f>IFERROR('Race #9'!$AN12,"")</f>
        <v/>
      </c>
      <c r="AX13" s="185" t="str">
        <f>'Race #10'!P12</f>
        <v/>
      </c>
      <c r="AY13" s="185" t="str">
        <f>IFERROR('Race #10'!$AB12,"")</f>
        <v/>
      </c>
      <c r="AZ13" s="185">
        <f>IFERROR('Race #10'!$AC12,"")</f>
        <v>0</v>
      </c>
      <c r="BA13" s="183" t="str">
        <f>IFERROR('Race #10'!$AN12,"")</f>
        <v/>
      </c>
      <c r="BB13" s="185" t="str">
        <f>'Race #11'!P12</f>
        <v/>
      </c>
      <c r="BC13" s="185" t="str">
        <f>IFERROR('Race #11'!$AB12,"")</f>
        <v/>
      </c>
      <c r="BD13" s="185">
        <f>IFERROR('Race #11'!$AC12,"")</f>
        <v>0</v>
      </c>
      <c r="BE13" s="183" t="str">
        <f>IFERROR('Race #11'!$AN12,"")</f>
        <v/>
      </c>
      <c r="BF13" s="87" t="str">
        <f t="shared" si="5"/>
        <v>Outrageous</v>
      </c>
      <c r="BG13" s="296">
        <f t="shared" si="8"/>
        <v>7</v>
      </c>
      <c r="BH13" s="296">
        <f>SMALL((P13,T13,X13,AB13,AF13,AJ13,AN13,AR13,AV13,AZ13,BD13),1)+SMALL((P13,T13,X13,AB13,AF13,AJ13,AN13,AR13,AV13,AZ13,BD13),2)</f>
        <v>0</v>
      </c>
      <c r="BI13" s="174">
        <f t="shared" si="11"/>
        <v>7</v>
      </c>
      <c r="BJ13" s="174">
        <f t="shared" si="6"/>
        <v>3</v>
      </c>
      <c r="BK13" s="296">
        <f t="shared" si="9"/>
        <v>10</v>
      </c>
      <c r="BL13" s="296">
        <f>SMALL((Q13,U13,Y13,AC13,AG13,AK13,AO13,AS13,AW13,BA13,BE13),1)+SMALL((Q13,U13,Y13,AC13,AG13,AK13,AO13,AS13,AW13,BA13,BE13),2)</f>
        <v>0</v>
      </c>
      <c r="BM13" s="156">
        <f t="shared" si="10"/>
        <v>10</v>
      </c>
      <c r="BN13" s="370">
        <f t="shared" si="7"/>
        <v>2</v>
      </c>
      <c r="BP13" s="295" t="s">
        <v>338</v>
      </c>
    </row>
    <row r="14" spans="1:68" ht="30" customHeight="1" x14ac:dyDescent="0.2">
      <c r="A14" s="50"/>
      <c r="B14" s="371">
        <f t="shared" si="0"/>
        <v>2</v>
      </c>
      <c r="C14" s="270">
        <f t="shared" si="1"/>
        <v>1</v>
      </c>
      <c r="D14" s="270">
        <f t="shared" si="2"/>
        <v>0</v>
      </c>
      <c r="E14" s="270">
        <f t="shared" si="3"/>
        <v>2</v>
      </c>
      <c r="F14" s="270">
        <f>COUNTIF('Race #1'!K13,"Yes")+COUNTIF('Race #2'!K13,"Yes")+COUNTIF('Race #3'!K13,"Yes")+COUNTIF('Race #4'!K13,"Yes")+COUNTIF('Race #5'!K13,"Yes")+COUNTIF('Race #6'!K13,"Yes")+COUNTIF('Race #7'!K13,"Yes")+COUNTIF('Race #8'!K13,"Yes")+COUNTIF('Race #9'!K13,"Yes")+COUNTIF('Race #10'!K13,"Yes")+COUNTIF('Race #11'!K13,"Yes")</f>
        <v>3</v>
      </c>
      <c r="G14" s="270">
        <f t="shared" si="4"/>
        <v>3</v>
      </c>
      <c r="H14" s="271" t="str">
        <f>'Handicaps-Roster'!F15</f>
        <v>616-450-3674</v>
      </c>
      <c r="I14" s="272" t="str">
        <f>'Handicaps-Roster'!C15</f>
        <v>Paradox</v>
      </c>
      <c r="J14" s="76" t="str">
        <f>'Handicaps-Roster'!D15</f>
        <v>J 92</v>
      </c>
      <c r="K14" s="76" t="str">
        <f>'Handicaps-Roster'!E15</f>
        <v>Glenn VanOtteren/Ted Standiford</v>
      </c>
      <c r="L14" s="162">
        <f>MIN(MAX('Handicaps-Roster'!J15,'Handicaps-Roster'!L15),'Handicaps-Roster'!M15)</f>
        <v>95.534114240783936</v>
      </c>
      <c r="M14" s="162">
        <f>MIN(MAX('Handicaps-Roster'!K15,'Handicaps-Roster'!N15),'Handicaps-Roster'!O15)</f>
        <v>113.2874601593268</v>
      </c>
      <c r="N14" s="184">
        <f>'Race #1'!P13</f>
        <v>1</v>
      </c>
      <c r="O14" s="184">
        <f>IFERROR('Race #1'!$AB13,"")</f>
        <v>1</v>
      </c>
      <c r="P14" s="182">
        <f>IFERROR('Race #1'!$AC13,"")</f>
        <v>6</v>
      </c>
      <c r="Q14" s="182">
        <f>IFERROR('Race #1'!$AN13,"")</f>
        <v>6</v>
      </c>
      <c r="R14" s="184" t="str">
        <f>'Race #2'!P13</f>
        <v/>
      </c>
      <c r="S14" s="184" t="str">
        <f>IFERROR('Race #2'!$AB13,"")</f>
        <v/>
      </c>
      <c r="T14" s="182">
        <f>IFERROR('Race #2'!$AC13,"")</f>
        <v>0</v>
      </c>
      <c r="U14" s="182">
        <f>IFERROR('Race #2'!$AN13,"")</f>
        <v>0</v>
      </c>
      <c r="V14" s="184">
        <f>'Race #3'!P13</f>
        <v>1</v>
      </c>
      <c r="W14" s="184">
        <f>IFERROR('Race #3'!AB13,"")</f>
        <v>1</v>
      </c>
      <c r="X14" s="182">
        <f>IFERROR('Race #3'!$AC13,"")</f>
        <v>6</v>
      </c>
      <c r="Y14" s="182">
        <f>IFERROR('Race #3'!$AN13,"")</f>
        <v>6</v>
      </c>
      <c r="Z14" s="184">
        <f>'Race #4'!P13</f>
        <v>2</v>
      </c>
      <c r="AA14" s="184">
        <f>IFERROR('Race #4'!$AB13,"")</f>
        <v>2</v>
      </c>
      <c r="AB14" s="182">
        <f>IFERROR('Race #4'!$AC13,"")</f>
        <v>5</v>
      </c>
      <c r="AC14" s="182">
        <f>IFERROR('Race #4'!$AN13,"")</f>
        <v>5</v>
      </c>
      <c r="AD14" s="182" t="str">
        <f>'Race #5'!P13</f>
        <v/>
      </c>
      <c r="AE14" s="186" t="str">
        <f>IFERROR('Race #5'!$AB13,"")</f>
        <v/>
      </c>
      <c r="AF14" s="182" t="str">
        <f>IFERROR('Race #5'!$AC13,"")</f>
        <v/>
      </c>
      <c r="AG14" s="182" t="str">
        <f>IFERROR('Race #5'!$AN13,"")</f>
        <v/>
      </c>
      <c r="AH14" s="184" t="str">
        <f>'Race #6'!P13</f>
        <v/>
      </c>
      <c r="AI14" s="184" t="str">
        <f>IFERROR('Race #6'!$AB13,"")</f>
        <v/>
      </c>
      <c r="AJ14" s="182">
        <f>IFERROR('Race #6'!$AC13,"")</f>
        <v>0</v>
      </c>
      <c r="AK14" s="182" t="str">
        <f>IFERROR('Race #6'!$AN13,"")</f>
        <v/>
      </c>
      <c r="AL14" s="273" t="str">
        <f>'Race #7'!P13</f>
        <v/>
      </c>
      <c r="AM14" s="186" t="str">
        <f>IFERROR('Race #7'!$AB13,"")</f>
        <v/>
      </c>
      <c r="AN14" s="182" t="str">
        <f>IFERROR('Race #7'!$AC13,"")</f>
        <v/>
      </c>
      <c r="AO14" s="182" t="str">
        <f>IFERROR('Race #7'!$AN13,"")</f>
        <v/>
      </c>
      <c r="AP14" s="184" t="str">
        <f>'Race #8'!P13</f>
        <v/>
      </c>
      <c r="AQ14" s="184" t="str">
        <f>IFERROR('Race #8'!$AB13,"")</f>
        <v/>
      </c>
      <c r="AR14" s="182">
        <f>IFERROR('Race #8'!$AC13,"")</f>
        <v>0</v>
      </c>
      <c r="AS14" s="182" t="str">
        <f>IFERROR('Race #8'!$AN13,"")</f>
        <v/>
      </c>
      <c r="AT14" s="186" t="str">
        <f>'Race #9'!P13</f>
        <v/>
      </c>
      <c r="AU14" s="186" t="str">
        <f>IFERROR('Race #9'!$AB13,"")</f>
        <v/>
      </c>
      <c r="AV14" s="182" t="str">
        <f>IFERROR('Race #9'!$AC13,"")</f>
        <v/>
      </c>
      <c r="AW14" s="182" t="str">
        <f>IFERROR('Race #9'!$AN13,"")</f>
        <v/>
      </c>
      <c r="AX14" s="184" t="str">
        <f>'Race #10'!P13</f>
        <v/>
      </c>
      <c r="AY14" s="184" t="str">
        <f>IFERROR('Race #10'!$AB13,"")</f>
        <v/>
      </c>
      <c r="AZ14" s="184">
        <f>IFERROR('Race #10'!$AC13,"")</f>
        <v>0</v>
      </c>
      <c r="BA14" s="182" t="str">
        <f>IFERROR('Race #10'!$AN13,"")</f>
        <v/>
      </c>
      <c r="BB14" s="184" t="str">
        <f>'Race #11'!P13</f>
        <v/>
      </c>
      <c r="BC14" s="184" t="str">
        <f>IFERROR('Race #11'!$AB13,"")</f>
        <v/>
      </c>
      <c r="BD14" s="184">
        <f>IFERROR('Race #11'!$AC13,"")</f>
        <v>0</v>
      </c>
      <c r="BE14" s="182" t="str">
        <f>IFERROR('Race #11'!$AN13,"")</f>
        <v/>
      </c>
      <c r="BF14" s="272" t="str">
        <f t="shared" si="5"/>
        <v>Paradox</v>
      </c>
      <c r="BG14" s="389">
        <f>SUM(P14,T14,X14,AB14,AF14,AJ14,AN14,AR14,AV14,AZ14,BD14)</f>
        <v>17</v>
      </c>
      <c r="BH14" s="389">
        <f>SMALL((P14,T14,X14,AB14,AF14,AJ14,AN14,AR14,AV14,AZ14,BD14),1)+SMALL((P14,T14,X14,AB14,AF14,AJ14,AN14,AR14,AV14,AZ14,BD14),2)</f>
        <v>0</v>
      </c>
      <c r="BI14" s="174">
        <f t="shared" si="11"/>
        <v>17</v>
      </c>
      <c r="BJ14" s="174">
        <f t="shared" si="6"/>
        <v>1</v>
      </c>
      <c r="BK14" s="389">
        <f t="shared" si="9"/>
        <v>17</v>
      </c>
      <c r="BL14" s="389">
        <f>SMALL((Q14,U14,Y14,AC14,AG14,AK14,AO14,AS14,AW14,BA14,BE14),1)+SMALL((Q14,U14,Y14,AC14,AG14,AK14,AO14,AS14,AW14,BA14,BE14),2)</f>
        <v>5</v>
      </c>
      <c r="BM14" s="156">
        <f t="shared" si="10"/>
        <v>12</v>
      </c>
      <c r="BN14" s="370">
        <f t="shared" si="7"/>
        <v>1</v>
      </c>
      <c r="BP14" s="295" t="s">
        <v>338</v>
      </c>
    </row>
    <row r="15" spans="1:68" ht="30" customHeight="1" x14ac:dyDescent="0.2">
      <c r="A15" s="50"/>
      <c r="B15" s="369">
        <f t="shared" si="0"/>
        <v>0</v>
      </c>
      <c r="C15" s="267">
        <f t="shared" si="1"/>
        <v>0</v>
      </c>
      <c r="D15" s="267">
        <f t="shared" si="2"/>
        <v>0</v>
      </c>
      <c r="E15" s="267">
        <f t="shared" si="3"/>
        <v>0</v>
      </c>
      <c r="F15" s="267">
        <f>COUNTIF('Race #1'!K14,"Yes")+COUNTIF('Race #2'!K14,"Yes")+COUNTIF('Race #3'!K14,"Yes")+COUNTIF('Race #4'!K14,"Yes")+COUNTIF('Race #5'!K14,"Yes")+COUNTIF('Race #6'!K14,"Yes")+COUNTIF('Race #7'!K14,"Yes")+COUNTIF('Race #8'!K14,"Yes")+COUNTIF('Race #9'!K14,"Yes")+COUNTIF('Race #10'!K14,"Yes")+COUNTIF('Race #11'!K14,"Yes")</f>
        <v>0</v>
      </c>
      <c r="G15" s="267">
        <f t="shared" si="4"/>
        <v>0</v>
      </c>
      <c r="H15" s="268" t="str">
        <f>'Handicaps-Roster'!F16</f>
        <v>616-881-6414</v>
      </c>
      <c r="I15" s="87" t="str">
        <f>'Handicaps-Roster'!C16</f>
        <v>Pegasus</v>
      </c>
      <c r="J15" s="9" t="str">
        <f>'Handicaps-Roster'!D16</f>
        <v>Catalina 320</v>
      </c>
      <c r="K15" s="9" t="str">
        <f>'Handicaps-Roster'!E16</f>
        <v>Bill Allen</v>
      </c>
      <c r="L15" s="46">
        <f>MIN(MAX('Handicaps-Roster'!J16,'Handicaps-Roster'!L16),'Handicaps-Roster'!M16)</f>
        <v>137.69999999999999</v>
      </c>
      <c r="M15" s="46">
        <f>MIN(MAX('Handicaps-Roster'!K16,'Handicaps-Roster'!N16),'Handicaps-Roster'!O16)</f>
        <v>146.67969019901307</v>
      </c>
      <c r="N15" s="185" t="str">
        <f>'Race #1'!P14</f>
        <v/>
      </c>
      <c r="O15" s="185" t="str">
        <f>IFERROR('Race #1'!$AB14,"")</f>
        <v/>
      </c>
      <c r="P15" s="183">
        <f>IFERROR('Race #1'!$AC14,"")</f>
        <v>0</v>
      </c>
      <c r="Q15" s="183">
        <f>IFERROR('Race #1'!$AN14,"")</f>
        <v>0</v>
      </c>
      <c r="R15" s="185" t="str">
        <f>'Race #2'!P14</f>
        <v/>
      </c>
      <c r="S15" s="185" t="str">
        <f>IFERROR('Race #2'!$AB14,"")</f>
        <v/>
      </c>
      <c r="T15" s="183">
        <f>IFERROR('Race #2'!$AC14,"")</f>
        <v>0</v>
      </c>
      <c r="U15" s="183">
        <f>IFERROR('Race #2'!$AN14,"")</f>
        <v>0</v>
      </c>
      <c r="V15" s="185" t="str">
        <f>'Race #3'!P14</f>
        <v/>
      </c>
      <c r="W15" s="185" t="str">
        <f>IFERROR('Race #3'!AB14,"")</f>
        <v/>
      </c>
      <c r="X15" s="183">
        <f>IFERROR('Race #3'!$AC14,"")</f>
        <v>0</v>
      </c>
      <c r="Y15" s="183">
        <f>IFERROR('Race #3'!$AN14,"")</f>
        <v>0</v>
      </c>
      <c r="Z15" s="185" t="str">
        <f>'Race #4'!P14</f>
        <v/>
      </c>
      <c r="AA15" s="185" t="str">
        <f>IFERROR('Race #4'!$AB14,"")</f>
        <v/>
      </c>
      <c r="AB15" s="183">
        <f>IFERROR('Race #4'!$AC14,"")</f>
        <v>0</v>
      </c>
      <c r="AC15" s="183">
        <f>IFERROR('Race #4'!$AN14,"")</f>
        <v>0</v>
      </c>
      <c r="AD15" s="183" t="str">
        <f>'Race #5'!P14</f>
        <v/>
      </c>
      <c r="AE15" s="187" t="str">
        <f>IFERROR('Race #5'!$AB14,"")</f>
        <v/>
      </c>
      <c r="AF15" s="183" t="str">
        <f>IFERROR('Race #5'!$AC14,"")</f>
        <v/>
      </c>
      <c r="AG15" s="183" t="str">
        <f>IFERROR('Race #5'!$AN14,"")</f>
        <v/>
      </c>
      <c r="AH15" s="185" t="str">
        <f>'Race #6'!P14</f>
        <v/>
      </c>
      <c r="AI15" s="185" t="str">
        <f>IFERROR('Race #6'!$AB14,"")</f>
        <v/>
      </c>
      <c r="AJ15" s="183">
        <f>IFERROR('Race #6'!$AC14,"")</f>
        <v>0</v>
      </c>
      <c r="AK15" s="183" t="str">
        <f>IFERROR('Race #6'!$AN14,"")</f>
        <v/>
      </c>
      <c r="AL15" s="269" t="str">
        <f>'Race #7'!P14</f>
        <v/>
      </c>
      <c r="AM15" s="187" t="str">
        <f>IFERROR('Race #7'!$AB14,"")</f>
        <v/>
      </c>
      <c r="AN15" s="183" t="str">
        <f>IFERROR('Race #7'!$AC14,"")</f>
        <v/>
      </c>
      <c r="AO15" s="183" t="str">
        <f>IFERROR('Race #7'!$AN14,"")</f>
        <v/>
      </c>
      <c r="AP15" s="185" t="str">
        <f>'Race #8'!P14</f>
        <v/>
      </c>
      <c r="AQ15" s="185" t="str">
        <f>IFERROR('Race #8'!$AB14,"")</f>
        <v/>
      </c>
      <c r="AR15" s="183">
        <f>IFERROR('Race #8'!$AC14,"")</f>
        <v>0</v>
      </c>
      <c r="AS15" s="183" t="str">
        <f>IFERROR('Race #8'!$AN14,"")</f>
        <v/>
      </c>
      <c r="AT15" s="187" t="str">
        <f>'Race #9'!P14</f>
        <v/>
      </c>
      <c r="AU15" s="187" t="str">
        <f>IFERROR('Race #9'!$AB14,"")</f>
        <v/>
      </c>
      <c r="AV15" s="183" t="str">
        <f>IFERROR('Race #9'!$AC14,"")</f>
        <v/>
      </c>
      <c r="AW15" s="183" t="str">
        <f>IFERROR('Race #9'!$AN14,"")</f>
        <v/>
      </c>
      <c r="AX15" s="185" t="str">
        <f>'Race #10'!P14</f>
        <v/>
      </c>
      <c r="AY15" s="185" t="str">
        <f>IFERROR('Race #10'!$AB14,"")</f>
        <v/>
      </c>
      <c r="AZ15" s="185">
        <f>IFERROR('Race #10'!$AC14,"")</f>
        <v>0</v>
      </c>
      <c r="BA15" s="183" t="str">
        <f>IFERROR('Race #10'!$AN14,"")</f>
        <v/>
      </c>
      <c r="BB15" s="185" t="str">
        <f>'Race #11'!P14</f>
        <v/>
      </c>
      <c r="BC15" s="185" t="str">
        <f>IFERROR('Race #11'!$AB14,"")</f>
        <v/>
      </c>
      <c r="BD15" s="185">
        <f>IFERROR('Race #11'!$AC14,"")</f>
        <v>0</v>
      </c>
      <c r="BE15" s="183" t="str">
        <f>IFERROR('Race #11'!$AN14,"")</f>
        <v/>
      </c>
      <c r="BF15" s="87" t="str">
        <f t="shared" si="5"/>
        <v>Pegasus</v>
      </c>
      <c r="BG15" s="296">
        <f t="shared" si="8"/>
        <v>0</v>
      </c>
      <c r="BH15" s="296">
        <f>SMALL((P15,T15,X15,AB15,AF15,AJ15,AN15,AR15,AV15,AZ15,BD15),1)+SMALL((P15,T15,X15,AB15,AF15,AJ15,AN15,AR15,AV15,AZ15,BD15),2)</f>
        <v>0</v>
      </c>
      <c r="BI15" s="174">
        <f t="shared" si="11"/>
        <v>0</v>
      </c>
      <c r="BJ15" s="174">
        <f t="shared" si="6"/>
        <v>12</v>
      </c>
      <c r="BK15" s="296">
        <f t="shared" si="9"/>
        <v>0</v>
      </c>
      <c r="BL15" s="296">
        <f>SMALL((Q15,U15,Y15,AC15,AG15,AK15,AO15,AS15,AW15,BA15,BE15),1)+SMALL((Q15,U15,Y15,AC15,AG15,AK15,AO15,AS15,AW15,BA15,BE15),2)</f>
        <v>0</v>
      </c>
      <c r="BM15" s="156">
        <f t="shared" si="10"/>
        <v>0</v>
      </c>
      <c r="BN15" s="370">
        <f t="shared" si="7"/>
        <v>12</v>
      </c>
      <c r="BP15" s="295" t="s">
        <v>338</v>
      </c>
    </row>
    <row r="16" spans="1:68" ht="30" customHeight="1" x14ac:dyDescent="0.2">
      <c r="A16" s="50"/>
      <c r="B16" s="369">
        <f>COUNTIFS($O16,1)+COUNTIFS($S16,1)+COUNTIFS($W16,1)+COUNTIFS($AA16,1)+COUNTIFS($AE16,1)+COUNTIFS($AI16,1)+COUNTIFS($AM16,1)+COUNTIFS($AQ16,1)+COUNTIFS($AU16,1)+COUNTIFS($AY16,1)+COUNTIFS($BB16,1)</f>
        <v>0</v>
      </c>
      <c r="C16" s="267">
        <f>COUNTIFS($O16,2)+COUNTIFS($S16,2)+COUNTIFS($W16,2)+COUNTIFS($AA16,2)+COUNTIFS($AE16,2)+COUNTIFS($AI16,2)+COUNTIFS($AM16,2)+COUNTIFS($AQ16,2)+COUNTIFS($AU16,2)+COUNTIFS($AY16,2)+COUNTIFS($BB16,2)</f>
        <v>0</v>
      </c>
      <c r="D16" s="267">
        <f>COUNTIFS($O16,3)+COUNTIFS($S16,3)+COUNTIFS($W16,3)+COUNTIFS($AA16,3)+COUNTIFS($AE16,3)+COUNTIFS($AI16,3)+COUNTIFS($AM16,3)+COUNTIFS($AQ16,3)+COUNTIFS($AU16,3)+COUNTIFS($AY16,3)+COUNTIFS($BB16,3)</f>
        <v>0</v>
      </c>
      <c r="E16" s="267">
        <f>COUNTIFS($N16,1)+COUNTIFS($R16,1)+COUNTIFS($V16,1)+COUNTIFS($Z16,1)+COUNTIFS($AD16,1)+COUNTIFS($AH16,1)+COUNTIFS($AL16,1)+COUNTIFS($AP16,1)+COUNTIFS($AT16,1)+COUNTIFS($AX16,1)+COUNTIFS($BB16,1)</f>
        <v>0</v>
      </c>
      <c r="F16" s="267">
        <f>COUNTIF('Race #1'!K15,"Yes")+COUNTIF('Race #2'!K15,"Yes")+COUNTIF('Race #3'!K15,"Yes")+COUNTIF('Race #4'!K15,"Yes")+COUNTIF('Race #5'!K15,"Yes")+COUNTIF('Race #6'!K15,"Yes")+COUNTIF('Race #7'!K15,"Yes")+COUNTIF('Race #8'!K15,"Yes")+COUNTIF('Race #9'!K15,"Yes")+COUNTIF('Race #10'!K15,"Yes")+COUNTIF('Race #11'!K15,"Yes")</f>
        <v>0</v>
      </c>
      <c r="G16" s="267">
        <f>COUNT($N16)+COUNT($R16)+COUNT($V16)+COUNT($Z16)+COUNT($AD16)+COUNT($AH16)+COUNT($AL16)+COUNT($AP16)+COUNT($AT16)+COUNT($AX16)+COUNT($BB16)</f>
        <v>0</v>
      </c>
      <c r="H16" s="10" t="str">
        <f>'Handicaps-Roster'!F17</f>
        <v>734-777-5016</v>
      </c>
      <c r="I16" s="87" t="str">
        <f>'Handicaps-Roster'!C17</f>
        <v>Triton</v>
      </c>
      <c r="J16" s="9" t="str">
        <f>'Handicaps-Roster'!D17</f>
        <v>Hans Christian 43</v>
      </c>
      <c r="K16" s="9" t="str">
        <f>'Handicaps-Roster'!E17</f>
        <v>Alex Parks</v>
      </c>
      <c r="L16" s="46">
        <f>MIN(MAX('Handicaps-Roster'!J17,'Handicaps-Roster'!L17),'Handicaps-Roster'!M17)</f>
        <v>194.4</v>
      </c>
      <c r="M16" s="46">
        <f>MIN(MAX('Handicaps-Roster'!K17,'Handicaps-Roster'!N17),'Handicaps-Roster'!O17)</f>
        <v>212.4</v>
      </c>
      <c r="N16" s="185" t="str">
        <f>'Race #1'!P15</f>
        <v/>
      </c>
      <c r="O16" s="185" t="str">
        <f>IFERROR('Race #1'!$AB15,"")</f>
        <v/>
      </c>
      <c r="P16" s="183">
        <f>IFERROR('Race #1'!$AC15,"")</f>
        <v>0</v>
      </c>
      <c r="Q16" s="183">
        <f>IFERROR('Race #1'!$AN15,"")</f>
        <v>0</v>
      </c>
      <c r="R16" s="185" t="str">
        <f>'Race #2'!P15</f>
        <v/>
      </c>
      <c r="S16" s="185" t="str">
        <f>IFERROR('Race #2'!$AB15,"")</f>
        <v/>
      </c>
      <c r="T16" s="183">
        <f>IFERROR('Race #2'!$AC15,"")</f>
        <v>0</v>
      </c>
      <c r="U16" s="183">
        <f>IFERROR('Race #2'!$AN15,"")</f>
        <v>0</v>
      </c>
      <c r="V16" s="185" t="str">
        <f>'Race #3'!P15</f>
        <v/>
      </c>
      <c r="W16" s="185" t="str">
        <f>IFERROR('Race #3'!AB15,"")</f>
        <v/>
      </c>
      <c r="X16" s="183">
        <f>IFERROR('Race #3'!$AC15,"")</f>
        <v>0</v>
      </c>
      <c r="Y16" s="183">
        <f>IFERROR('Race #3'!$AN15,"")</f>
        <v>0</v>
      </c>
      <c r="Z16" s="185" t="str">
        <f>'Race #4'!P15</f>
        <v/>
      </c>
      <c r="AA16" s="185" t="str">
        <f>IFERROR('Race #4'!$AB15,"")</f>
        <v/>
      </c>
      <c r="AB16" s="183">
        <f>IFERROR('Race #4'!$AC15,"")</f>
        <v>0</v>
      </c>
      <c r="AC16" s="183">
        <f>IFERROR('Race #4'!$AN15,"")</f>
        <v>0</v>
      </c>
      <c r="AD16" s="183" t="str">
        <f>'Race #5'!P15</f>
        <v/>
      </c>
      <c r="AE16" s="187" t="str">
        <f>IFERROR('Race #5'!$AB15,"")</f>
        <v/>
      </c>
      <c r="AF16" s="183" t="str">
        <f>IFERROR('Race #5'!$AC15,"")</f>
        <v/>
      </c>
      <c r="AG16" s="183" t="str">
        <f>IFERROR('Race #5'!$AN15,"")</f>
        <v/>
      </c>
      <c r="AH16" s="185" t="str">
        <f>'Race #6'!P15</f>
        <v/>
      </c>
      <c r="AI16" s="185" t="str">
        <f>IFERROR('Race #6'!$AB15,"")</f>
        <v/>
      </c>
      <c r="AJ16" s="183">
        <f>IFERROR('Race #6'!$AC15,"")</f>
        <v>0</v>
      </c>
      <c r="AK16" s="183" t="str">
        <f>IFERROR('Race #6'!$AN15,"")</f>
        <v/>
      </c>
      <c r="AL16" s="269" t="str">
        <f>'Race #7'!P15</f>
        <v/>
      </c>
      <c r="AM16" s="187" t="str">
        <f>IFERROR('Race #7'!$AB15,"")</f>
        <v/>
      </c>
      <c r="AN16" s="183" t="str">
        <f>IFERROR('Race #7'!$AC15,"")</f>
        <v/>
      </c>
      <c r="AO16" s="183" t="str">
        <f>IFERROR('Race #7'!$AN15,"")</f>
        <v/>
      </c>
      <c r="AP16" s="185" t="str">
        <f>'Race #8'!P15</f>
        <v/>
      </c>
      <c r="AQ16" s="185" t="str">
        <f>IFERROR('Race #8'!$AB15,"")</f>
        <v/>
      </c>
      <c r="AR16" s="183">
        <f>IFERROR('Race #8'!$AC15,"")</f>
        <v>0</v>
      </c>
      <c r="AS16" s="183" t="str">
        <f>IFERROR('Race #8'!$AN15,"")</f>
        <v/>
      </c>
      <c r="AT16" s="187" t="str">
        <f>'Race #9'!P15</f>
        <v/>
      </c>
      <c r="AU16" s="187" t="str">
        <f>IFERROR('Race #9'!$AB15,"")</f>
        <v/>
      </c>
      <c r="AV16" s="183" t="str">
        <f>IFERROR('Race #9'!$AC15,"")</f>
        <v/>
      </c>
      <c r="AW16" s="183" t="str">
        <f>IFERROR('Race #9'!$AN15,"")</f>
        <v/>
      </c>
      <c r="AX16" s="185" t="str">
        <f>'Race #10'!P15</f>
        <v/>
      </c>
      <c r="AY16" s="185" t="str">
        <f>IFERROR('Race #10'!$AB15,"")</f>
        <v/>
      </c>
      <c r="AZ16" s="185">
        <f>IFERROR('Race #10'!$AC15,"")</f>
        <v>0</v>
      </c>
      <c r="BA16" s="183" t="str">
        <f>IFERROR('Race #10'!$AN15,"")</f>
        <v/>
      </c>
      <c r="BB16" s="185" t="str">
        <f>'Race #11'!P15</f>
        <v/>
      </c>
      <c r="BC16" s="185" t="str">
        <f>IFERROR('Race #11'!$AB15,"")</f>
        <v/>
      </c>
      <c r="BD16" s="185">
        <f>IFERROR('Race #11'!$AC15,"")</f>
        <v>0</v>
      </c>
      <c r="BE16" s="183" t="str">
        <f>IFERROR('Race #11'!$AN15,"")</f>
        <v/>
      </c>
      <c r="BF16" s="87" t="str">
        <f>I16</f>
        <v>Triton</v>
      </c>
      <c r="BG16" s="296">
        <f>SUM(P16,T16,X16,AB16,AF16,AJ16,AN16,AR16,AV16,AZ16,BD16)</f>
        <v>0</v>
      </c>
      <c r="BH16" s="296">
        <f>SMALL((P16,T16,X16,AB16,AF16,AJ16,AN16,AR16,AV16,AZ16,BD16),1)+SMALL((P16,T16,X16,AB16,AF16,AJ16,AN16,AR16,AV16,AZ16,BD16),2)</f>
        <v>0</v>
      </c>
      <c r="BI16" s="174">
        <f>BG16-BH16</f>
        <v>0</v>
      </c>
      <c r="BJ16" s="174">
        <f t="shared" si="6"/>
        <v>12</v>
      </c>
      <c r="BK16" s="296">
        <f>SUM(Q16,U16,Y16,AC16,AG16,AK16,AO16,AS16,AW16,BA16,BE16)</f>
        <v>0</v>
      </c>
      <c r="BL16" s="296">
        <f>SMALL((Q16,U16,Y16,AC16,AG16,AK16,AO16,AS16,AW16,BA16,BE16),1)+SMALL((Q16,U16,Y16,AC16,AG16,AK16,AO16,AS16,AW16,BA16,BE16),2)</f>
        <v>0</v>
      </c>
      <c r="BM16" s="390">
        <f>BK16-BL16</f>
        <v>0</v>
      </c>
      <c r="BN16" s="391">
        <f t="shared" si="7"/>
        <v>12</v>
      </c>
    </row>
    <row r="17" spans="1:66" ht="30" customHeight="1" x14ac:dyDescent="0.2">
      <c r="A17" s="50"/>
      <c r="B17" s="371">
        <f t="shared" ref="B17:B18" si="12">COUNTIFS($O17,1)+COUNTIFS($S17,1)+COUNTIFS($W17,1)+COUNTIFS($AA17,1)+COUNTIFS($AE17,1)+COUNTIFS($AI17,1)+COUNTIFS($AM17,1)+COUNTIFS($AQ17,1)+COUNTIFS($AU17,1)+COUNTIFS($AY17,1)+COUNTIFS($BB17,1)</f>
        <v>0</v>
      </c>
      <c r="C17" s="270">
        <f t="shared" ref="C17:C18" si="13">COUNTIFS($O17,2)+COUNTIFS($S17,2)+COUNTIFS($W17,2)+COUNTIFS($AA17,2)+COUNTIFS($AE17,2)+COUNTIFS($AI17,2)+COUNTIFS($AM17,2)+COUNTIFS($AQ17,2)+COUNTIFS($AU17,2)+COUNTIFS($AY17,2)+COUNTIFS($BB17,2)</f>
        <v>0</v>
      </c>
      <c r="D17" s="270">
        <f t="shared" ref="D17:D18" si="14">COUNTIFS($O17,3)+COUNTIFS($S17,3)+COUNTIFS($W17,3)+COUNTIFS($AA17,3)+COUNTIFS($AE17,3)+COUNTIFS($AI17,3)+COUNTIFS($AM17,3)+COUNTIFS($AQ17,3)+COUNTIFS($AU17,3)+COUNTIFS($AY17,3)+COUNTIFS($BB17,3)</f>
        <v>0</v>
      </c>
      <c r="E17" s="270">
        <f t="shared" ref="E17:E18" si="15">COUNTIFS($N17,1)+COUNTIFS($R17,1)+COUNTIFS($V17,1)+COUNTIFS($Z17,1)+COUNTIFS($AD17,1)+COUNTIFS($AH17,1)+COUNTIFS($AL17,1)+COUNTIFS($AP17,1)+COUNTIFS($AT17,1)+COUNTIFS($AX17,1)+COUNTIFS($BB17,1)</f>
        <v>0</v>
      </c>
      <c r="F17" s="270">
        <f>COUNTIF('Race #1'!K16,"Yes")+COUNTIF('Race #2'!K16,"Yes")+COUNTIF('Race #3'!K16,"Yes")+COUNTIF('Race #4'!K16,"Yes")+COUNTIF('Race #5'!K16,"Yes")+COUNTIF('Race #6'!K16,"Yes")+COUNTIF('Race #7'!K16,"Yes")+COUNTIF('Race #8'!K16,"Yes")+COUNTIF('Race #9'!K16,"Yes")+COUNTIF('Race #10'!K16,"Yes")+COUNTIF('Race #11'!K16,"Yes")</f>
        <v>2</v>
      </c>
      <c r="G17" s="270">
        <f t="shared" ref="G17:G18" si="16">COUNT($N17)+COUNT($R17)+COUNT($V17)+COUNT($Z17)+COUNT($AD17)+COUNT($AH17)+COUNT($AL17)+COUNT($AP17)+COUNT($AT17)+COUNT($AX17)+COUNT($BB17)</f>
        <v>2</v>
      </c>
      <c r="H17" s="388" t="str">
        <f>'Handicaps-Roster'!F18</f>
        <v>231-386-2290</v>
      </c>
      <c r="I17" s="381" t="str">
        <f>'Handicaps-Roster'!C18</f>
        <v>Lone Gull</v>
      </c>
      <c r="J17" s="344" t="str">
        <f>'Handicaps-Roster'!D18</f>
        <v>Cal 20</v>
      </c>
      <c r="K17" s="344" t="str">
        <f>'Handicaps-Roster'!E18</f>
        <v>Kevin Savage</v>
      </c>
      <c r="L17" s="162">
        <f>MIN(MAX('Handicaps-Roster'!J18,'Handicaps-Roster'!L18),'Handicaps-Roster'!M18)</f>
        <v>280</v>
      </c>
      <c r="M17" s="162">
        <f>MIN(MAX('Handicaps-Roster'!K18,'Handicaps-Roster'!N18),'Handicaps-Roster'!O18)</f>
        <v>288</v>
      </c>
      <c r="N17" s="184">
        <f>'Race #1'!P16</f>
        <v>5</v>
      </c>
      <c r="O17" s="184">
        <f>IFERROR('Race #1'!$AB16,"")</f>
        <v>5</v>
      </c>
      <c r="P17" s="182">
        <f>IFERROR('Race #1'!$AC16,"")</f>
        <v>2</v>
      </c>
      <c r="Q17" s="182">
        <f>IFERROR('Race #1'!$AN16,"")</f>
        <v>4</v>
      </c>
      <c r="R17" s="184" t="str">
        <f>'Race #2'!P16</f>
        <v/>
      </c>
      <c r="S17" s="184" t="str">
        <f>IFERROR('Race #2'!$AB16,"")</f>
        <v/>
      </c>
      <c r="T17" s="182">
        <f>IFERROR('Race #2'!$AC16,"")</f>
        <v>0</v>
      </c>
      <c r="U17" s="182">
        <f>IFERROR('Race #2'!$AN16,"")</f>
        <v>0</v>
      </c>
      <c r="V17" s="184">
        <f>'Race #3'!P16</f>
        <v>8</v>
      </c>
      <c r="W17" s="184">
        <f>IFERROR('Race #3'!AB16,"")</f>
        <v>8</v>
      </c>
      <c r="X17" s="182">
        <f>IFERROR('Race #3'!$AC16,"")</f>
        <v>1</v>
      </c>
      <c r="Y17" s="182">
        <f>IFERROR('Race #3'!$AN16,"")</f>
        <v>4</v>
      </c>
      <c r="Z17" s="184" t="str">
        <f>'Race #4'!P16</f>
        <v/>
      </c>
      <c r="AA17" s="184" t="str">
        <f>IFERROR('Race #4'!$AB16,"")</f>
        <v/>
      </c>
      <c r="AB17" s="182">
        <f>IFERROR('Race #4'!$AC16,"")</f>
        <v>0</v>
      </c>
      <c r="AC17" s="182">
        <f>IFERROR('Race #4'!$AN16,"")</f>
        <v>0</v>
      </c>
      <c r="AD17" s="182" t="str">
        <f>'Race #5'!P16</f>
        <v/>
      </c>
      <c r="AE17" s="186" t="str">
        <f>IFERROR('Race #5'!$AB16,"")</f>
        <v/>
      </c>
      <c r="AF17" s="182" t="str">
        <f>IFERROR('Race #5'!$AC16,"")</f>
        <v/>
      </c>
      <c r="AG17" s="182" t="str">
        <f>IFERROR('Race #5'!$AN16,"")</f>
        <v/>
      </c>
      <c r="AH17" s="184" t="str">
        <f>'Race #6'!P16</f>
        <v/>
      </c>
      <c r="AI17" s="184" t="str">
        <f>IFERROR('Race #6'!$AB16,"")</f>
        <v/>
      </c>
      <c r="AJ17" s="182">
        <f>IFERROR('Race #6'!$AC16,"")</f>
        <v>0</v>
      </c>
      <c r="AK17" s="182" t="str">
        <f>IFERROR('Race #6'!$AN16,"")</f>
        <v/>
      </c>
      <c r="AL17" s="273" t="str">
        <f>'Race #7'!P16</f>
        <v/>
      </c>
      <c r="AM17" s="186" t="str">
        <f>IFERROR('Race #7'!$AB16,"")</f>
        <v/>
      </c>
      <c r="AN17" s="182" t="str">
        <f>IFERROR('Race #7'!$AC16,"")</f>
        <v/>
      </c>
      <c r="AO17" s="182" t="str">
        <f>IFERROR('Race #7'!$AN16,"")</f>
        <v/>
      </c>
      <c r="AP17" s="184" t="str">
        <f>'Race #8'!P16</f>
        <v/>
      </c>
      <c r="AQ17" s="184" t="str">
        <f>IFERROR('Race #8'!$AB16,"")</f>
        <v/>
      </c>
      <c r="AR17" s="182">
        <f>IFERROR('Race #8'!$AC16,"")</f>
        <v>0</v>
      </c>
      <c r="AS17" s="182" t="str">
        <f>IFERROR('Race #8'!$AN16,"")</f>
        <v/>
      </c>
      <c r="AT17" s="186" t="str">
        <f>'Race #9'!P16</f>
        <v/>
      </c>
      <c r="AU17" s="186" t="str">
        <f>IFERROR('Race #9'!$AB16,"")</f>
        <v/>
      </c>
      <c r="AV17" s="182" t="str">
        <f>IFERROR('Race #9'!$AC16,"")</f>
        <v/>
      </c>
      <c r="AW17" s="182" t="str">
        <f>IFERROR('Race #9'!$AN16,"")</f>
        <v/>
      </c>
      <c r="AX17" s="184" t="str">
        <f>'Race #10'!P16</f>
        <v/>
      </c>
      <c r="AY17" s="184" t="str">
        <f>IFERROR('Race #10'!$AB16,"")</f>
        <v/>
      </c>
      <c r="AZ17" s="184">
        <f>IFERROR('Race #10'!$AC16,"")</f>
        <v>0</v>
      </c>
      <c r="BA17" s="182" t="str">
        <f>IFERROR('Race #10'!$AN16,"")</f>
        <v/>
      </c>
      <c r="BB17" s="184" t="str">
        <f>'Race #11'!P16</f>
        <v/>
      </c>
      <c r="BC17" s="184" t="str">
        <f>IFERROR('Race #11'!$AB16,"")</f>
        <v/>
      </c>
      <c r="BD17" s="184">
        <f>IFERROR('Race #11'!$AC16,"")</f>
        <v>0</v>
      </c>
      <c r="BE17" s="182" t="str">
        <f>IFERROR('Race #11'!$AN16,"")</f>
        <v/>
      </c>
      <c r="BF17" s="381" t="str">
        <f t="shared" ref="BF17:BF18" si="17">I17</f>
        <v>Lone Gull</v>
      </c>
      <c r="BG17" s="389">
        <f t="shared" ref="BG17:BG18" si="18">SUM(P17,T17,X17,AB17,AF17,AJ17,AN17,AR17,AV17,AZ17,BD17)</f>
        <v>3</v>
      </c>
      <c r="BH17" s="389">
        <f>SMALL((P17,T17,X17,AB17,AF17,AJ17,AN17,AR17,AV17,AZ17,BD17),1)+SMALL((P17,T17,X17,AB17,AF17,AJ17,AN17,AR17,AV17,AZ17,BD17),2)</f>
        <v>0</v>
      </c>
      <c r="BI17" s="174">
        <f t="shared" ref="BI17:BI18" si="19">BG17-BH17</f>
        <v>3</v>
      </c>
      <c r="BJ17" s="174">
        <f t="shared" si="6"/>
        <v>7</v>
      </c>
      <c r="BK17" s="389">
        <f t="shared" ref="BK17:BK18" si="20">SUM(Q17,U17,Y17,AC17,AG17,AK17,AO17,AS17,AW17,BA17,BE17)</f>
        <v>8</v>
      </c>
      <c r="BL17" s="389">
        <f>SMALL((Q17,U17,Y17,AC17,AG17,AK17,AO17,AS17,AW17,BA17,BE17),1)+SMALL((Q17,U17,Y17,AC17,AG17,AK17,AO17,AS17,AW17,BA17,BE17),2)</f>
        <v>0</v>
      </c>
      <c r="BM17" s="390">
        <f t="shared" ref="BM17:BM18" si="21">BK17-BL17</f>
        <v>8</v>
      </c>
      <c r="BN17" s="391">
        <f t="shared" si="7"/>
        <v>3</v>
      </c>
    </row>
    <row r="18" spans="1:66" ht="30" customHeight="1" thickBot="1" x14ac:dyDescent="0.25">
      <c r="A18" s="50"/>
      <c r="B18" s="382">
        <f t="shared" si="12"/>
        <v>0</v>
      </c>
      <c r="C18" s="383">
        <f t="shared" si="13"/>
        <v>0</v>
      </c>
      <c r="D18" s="383">
        <f t="shared" si="14"/>
        <v>0</v>
      </c>
      <c r="E18" s="383">
        <f t="shared" si="15"/>
        <v>0</v>
      </c>
      <c r="F18" s="383">
        <f>COUNTIF('Race #1'!K17,"Yes")+COUNTIF('Race #2'!K17,"Yes")+COUNTIF('Race #3'!K17,"Yes")+COUNTIF('Race #4'!K17,"Yes")+COUNTIF('Race #5'!K17,"Yes")+COUNTIF('Race #6'!K17,"Yes")+COUNTIF('Race #7'!K17,"Yes")+COUNTIF('Race #8'!K17,"Yes")+COUNTIF('Race #9'!K17,"Yes")+COUNTIF('Race #10'!K17,"Yes")+COUNTIF('Race #11'!K17,"Yes")</f>
        <v>0</v>
      </c>
      <c r="G18" s="383">
        <f t="shared" si="16"/>
        <v>0</v>
      </c>
      <c r="H18" s="384">
        <f>'Handicaps-Roster'!F19</f>
        <v>0</v>
      </c>
      <c r="I18" s="387">
        <f>'Handicaps-Roster'!C19</f>
        <v>0</v>
      </c>
      <c r="J18" s="385">
        <f>'Handicaps-Roster'!D19</f>
        <v>0</v>
      </c>
      <c r="K18" s="385">
        <f>'Handicaps-Roster'!E19</f>
        <v>0</v>
      </c>
      <c r="L18" s="386">
        <f>MIN(MAX('Handicaps-Roster'!J19,'Handicaps-Roster'!L19),'Handicaps-Roster'!M19)</f>
        <v>0</v>
      </c>
      <c r="M18" s="386">
        <f>MIN(MAX('Handicaps-Roster'!K19,'Handicaps-Roster'!N19),'Handicaps-Roster'!O19)</f>
        <v>0</v>
      </c>
      <c r="N18" s="374" t="str">
        <f>'Race #1'!P17</f>
        <v/>
      </c>
      <c r="O18" s="374" t="str">
        <f>IFERROR('Race #1'!$AB17,"")</f>
        <v/>
      </c>
      <c r="P18" s="375">
        <f>IFERROR('Race #1'!$AC17,"")</f>
        <v>0</v>
      </c>
      <c r="Q18" s="375">
        <f>IFERROR('Race #1'!$AN17,"")</f>
        <v>0</v>
      </c>
      <c r="R18" s="374" t="str">
        <f>'Race #2'!P17</f>
        <v/>
      </c>
      <c r="S18" s="374" t="str">
        <f>IFERROR('Race #2'!$AB17,"")</f>
        <v/>
      </c>
      <c r="T18" s="375">
        <f>IFERROR('Race #2'!$AC17,"")</f>
        <v>0</v>
      </c>
      <c r="U18" s="375">
        <f>IFERROR('Race #2'!$AN17,"")</f>
        <v>0</v>
      </c>
      <c r="V18" s="374" t="str">
        <f>'Race #3'!P17</f>
        <v/>
      </c>
      <c r="W18" s="374" t="str">
        <f>IFERROR('Race #3'!AB17,"")</f>
        <v/>
      </c>
      <c r="X18" s="375">
        <f>IFERROR('Race #3'!$AC17,"")</f>
        <v>0</v>
      </c>
      <c r="Y18" s="375">
        <f>IFERROR('Race #3'!$AN17,"")</f>
        <v>0</v>
      </c>
      <c r="Z18" s="374" t="str">
        <f>'Race #4'!P17</f>
        <v/>
      </c>
      <c r="AA18" s="374" t="str">
        <f>IFERROR('Race #4'!$AB17,"")</f>
        <v/>
      </c>
      <c r="AB18" s="375">
        <f>IFERROR('Race #4'!$AC17,"")</f>
        <v>0</v>
      </c>
      <c r="AC18" s="375">
        <f>IFERROR('Race #4'!$AN17,"")</f>
        <v>0</v>
      </c>
      <c r="AD18" s="375" t="str">
        <f>'Race #5'!P17</f>
        <v/>
      </c>
      <c r="AE18" s="376" t="str">
        <f>IFERROR('Race #5'!$AB17,"")</f>
        <v/>
      </c>
      <c r="AF18" s="375" t="str">
        <f>IFERROR('Race #5'!$AC17,"")</f>
        <v/>
      </c>
      <c r="AG18" s="375" t="str">
        <f>IFERROR('Race #5'!$AN17,"")</f>
        <v/>
      </c>
      <c r="AH18" s="374" t="str">
        <f>'Race #6'!P17</f>
        <v/>
      </c>
      <c r="AI18" s="374" t="str">
        <f>IFERROR('Race #6'!$AB17,"")</f>
        <v/>
      </c>
      <c r="AJ18" s="375">
        <f>IFERROR('Race #6'!$AC17,"")</f>
        <v>0</v>
      </c>
      <c r="AK18" s="375" t="str">
        <f>IFERROR('Race #6'!$AN17,"")</f>
        <v/>
      </c>
      <c r="AL18" s="377" t="str">
        <f>'Race #7'!P17</f>
        <v/>
      </c>
      <c r="AM18" s="376" t="str">
        <f>IFERROR('Race #7'!$AB17,"")</f>
        <v/>
      </c>
      <c r="AN18" s="375" t="str">
        <f>IFERROR('Race #7'!$AC17,"")</f>
        <v/>
      </c>
      <c r="AO18" s="375" t="str">
        <f>IFERROR('Race #7'!$AN17,"")</f>
        <v/>
      </c>
      <c r="AP18" s="374" t="str">
        <f>'Race #8'!P17</f>
        <v/>
      </c>
      <c r="AQ18" s="374" t="str">
        <f>IFERROR('Race #8'!$AB17,"")</f>
        <v/>
      </c>
      <c r="AR18" s="375">
        <f>IFERROR('Race #8'!$AC17,"")</f>
        <v>0</v>
      </c>
      <c r="AS18" s="375" t="str">
        <f>IFERROR('Race #8'!$AN17,"")</f>
        <v/>
      </c>
      <c r="AT18" s="376" t="str">
        <f>'Race #9'!P17</f>
        <v/>
      </c>
      <c r="AU18" s="376" t="str">
        <f>IFERROR('Race #9'!$AB17,"")</f>
        <v/>
      </c>
      <c r="AV18" s="375" t="str">
        <f>IFERROR('Race #9'!$AC17,"")</f>
        <v/>
      </c>
      <c r="AW18" s="375" t="str">
        <f>IFERROR('Race #9'!$AN17,"")</f>
        <v/>
      </c>
      <c r="AX18" s="374" t="str">
        <f>'Race #10'!P17</f>
        <v/>
      </c>
      <c r="AY18" s="374" t="str">
        <f>IFERROR('Race #10'!$AB17,"")</f>
        <v/>
      </c>
      <c r="AZ18" s="374">
        <f>IFERROR('Race #10'!$AC17,"")</f>
        <v>0</v>
      </c>
      <c r="BA18" s="375" t="str">
        <f>IFERROR('Race #10'!$AN17,"")</f>
        <v/>
      </c>
      <c r="BB18" s="374" t="str">
        <f>'Race #11'!P17</f>
        <v/>
      </c>
      <c r="BC18" s="374" t="str">
        <f>IFERROR('Race #11'!$AB17,"")</f>
        <v/>
      </c>
      <c r="BD18" s="374">
        <f>IFERROR('Race #11'!$AC17,"")</f>
        <v>0</v>
      </c>
      <c r="BE18" s="375" t="str">
        <f>IFERROR('Race #11'!$AN17,"")</f>
        <v/>
      </c>
      <c r="BF18" s="387">
        <f t="shared" si="17"/>
        <v>0</v>
      </c>
      <c r="BG18" s="372">
        <f t="shared" si="18"/>
        <v>0</v>
      </c>
      <c r="BH18" s="372">
        <f>SMALL((P18,T18,X18,AB18,AF18,AJ18,AN18,AR18,AV18,AZ18,BD18),1)+SMALL((P18,T18,X18,AB18,AF18,AJ18,AN18,AR18,AV18,AZ18,BD18),2)</f>
        <v>0</v>
      </c>
      <c r="BI18" s="373">
        <f t="shared" si="19"/>
        <v>0</v>
      </c>
      <c r="BJ18" s="373">
        <f t="shared" si="6"/>
        <v>12</v>
      </c>
      <c r="BK18" s="372">
        <f t="shared" si="20"/>
        <v>0</v>
      </c>
      <c r="BL18" s="372">
        <f>SMALL((Q18,U18,Y18,AC18,AG18,AK18,AO18,AS18,AW18,BA18,BE18),1)+SMALL((Q18,U18,Y18,AC18,AG18,AK18,AO18,AS18,AW18,BA18,BE18),2)</f>
        <v>0</v>
      </c>
      <c r="BM18" s="392">
        <f t="shared" si="21"/>
        <v>0</v>
      </c>
      <c r="BN18" s="393">
        <f t="shared" si="7"/>
        <v>12</v>
      </c>
    </row>
    <row r="19" spans="1:66" ht="30" customHeight="1" thickTop="1" x14ac:dyDescent="0.2">
      <c r="A19" s="7"/>
      <c r="B19" s="7"/>
      <c r="C19" s="7"/>
      <c r="D19" s="7"/>
      <c r="E19" s="7"/>
      <c r="F19" s="7"/>
      <c r="G19" s="7"/>
      <c r="H19" s="7"/>
      <c r="I19" s="3"/>
      <c r="L19" s="5"/>
      <c r="M19" s="5"/>
      <c r="N19" s="13"/>
      <c r="O19" s="13"/>
      <c r="P19" s="12"/>
      <c r="Q19" s="12"/>
      <c r="R19" s="13"/>
      <c r="S19" s="13"/>
      <c r="T19" s="12"/>
      <c r="U19" s="12"/>
      <c r="V19" s="13"/>
      <c r="W19" s="13"/>
      <c r="X19" s="83"/>
      <c r="Y19" s="12"/>
      <c r="Z19" s="13"/>
      <c r="AA19" s="13"/>
      <c r="AB19" s="83"/>
      <c r="AC19" s="12"/>
      <c r="AD19" s="12"/>
      <c r="AE19" s="14"/>
      <c r="AF19" s="12"/>
      <c r="AG19" s="12"/>
      <c r="AH19" s="13"/>
      <c r="AI19" s="13"/>
      <c r="AJ19" s="12"/>
      <c r="AK19" s="12"/>
      <c r="AL19" s="19"/>
      <c r="AM19" s="20"/>
      <c r="AN19" s="12"/>
      <c r="AO19" s="12"/>
      <c r="AP19" s="21"/>
      <c r="AQ19" s="21"/>
      <c r="AR19" s="12"/>
      <c r="AS19" s="12"/>
      <c r="AT19" s="14"/>
      <c r="AU19" s="14"/>
      <c r="AV19" s="12"/>
      <c r="AW19" s="12"/>
      <c r="AX19" s="13"/>
      <c r="AY19" s="13"/>
      <c r="AZ19" s="13"/>
      <c r="BA19" s="12"/>
      <c r="BB19" s="13"/>
      <c r="BC19" s="13"/>
      <c r="BD19" s="15"/>
      <c r="BE19" s="12"/>
      <c r="BF19" s="3"/>
      <c r="BG19" s="7"/>
      <c r="BH19" s="7"/>
      <c r="BI19" s="7"/>
      <c r="BJ19" s="7"/>
      <c r="BK19" s="7"/>
      <c r="BL19" s="7"/>
      <c r="BM19" s="7"/>
      <c r="BN19" s="7"/>
    </row>
    <row r="20" spans="1:66" ht="20" customHeight="1" x14ac:dyDescent="0.2">
      <c r="B20" s="7">
        <f t="shared" ref="B20:G20" si="22">SUM(B5:B18)</f>
        <v>3</v>
      </c>
      <c r="C20" s="7">
        <f t="shared" si="22"/>
        <v>3</v>
      </c>
      <c r="D20" s="7">
        <f t="shared" si="22"/>
        <v>3</v>
      </c>
      <c r="E20" s="7">
        <f t="shared" si="22"/>
        <v>3</v>
      </c>
      <c r="F20" s="7">
        <f t="shared" si="22"/>
        <v>18</v>
      </c>
      <c r="G20" s="7">
        <f t="shared" si="22"/>
        <v>18</v>
      </c>
      <c r="M20" s="53"/>
      <c r="O20" s="33" t="s">
        <v>93</v>
      </c>
      <c r="P20" s="53">
        <f>'Race #1'!E26</f>
        <v>7</v>
      </c>
      <c r="Q20" s="53"/>
      <c r="S20" s="33" t="s">
        <v>93</v>
      </c>
      <c r="T20" s="53">
        <f>'Race #2'!E26</f>
        <v>0</v>
      </c>
      <c r="U20" s="53"/>
      <c r="W20" s="33" t="s">
        <v>93</v>
      </c>
      <c r="X20" s="84">
        <f>'Race #3'!E26</f>
        <v>8</v>
      </c>
      <c r="Y20" s="53"/>
      <c r="AA20" s="33" t="s">
        <v>93</v>
      </c>
      <c r="AB20" s="84">
        <f>'Race #4'!E26</f>
        <v>4</v>
      </c>
      <c r="AC20" s="53"/>
      <c r="AE20" s="33" t="s">
        <v>93</v>
      </c>
      <c r="AF20" s="53">
        <f>'Race #5'!E26</f>
        <v>0</v>
      </c>
      <c r="AG20" s="53"/>
      <c r="AI20" s="33" t="s">
        <v>93</v>
      </c>
      <c r="AJ20" s="53">
        <f>'Race #6'!E26</f>
        <v>0</v>
      </c>
      <c r="AK20" s="53"/>
      <c r="AM20" s="33" t="s">
        <v>93</v>
      </c>
      <c r="AN20" s="53">
        <f>'Race #7'!E26</f>
        <v>0</v>
      </c>
      <c r="AO20" s="53"/>
      <c r="AQ20" s="33" t="s">
        <v>93</v>
      </c>
      <c r="AR20" s="53">
        <f>'Race #8'!E26</f>
        <v>0</v>
      </c>
      <c r="AS20" s="53"/>
      <c r="AU20" s="33" t="s">
        <v>93</v>
      </c>
      <c r="AV20" s="53">
        <f>'Race #9'!E26</f>
        <v>0</v>
      </c>
      <c r="AW20" s="53"/>
      <c r="AY20" s="33" t="s">
        <v>93</v>
      </c>
      <c r="AZ20" s="53">
        <f>'Race #10'!E26</f>
        <v>0</v>
      </c>
      <c r="BA20" s="53"/>
      <c r="BC20" s="33" t="s">
        <v>93</v>
      </c>
      <c r="BD20" s="53">
        <f>'Race #11'!E26</f>
        <v>0</v>
      </c>
      <c r="BE20" s="53"/>
    </row>
    <row r="21" spans="1:66" ht="20" customHeight="1" x14ac:dyDescent="0.2">
      <c r="M21" s="53"/>
      <c r="O21" s="33" t="s">
        <v>94</v>
      </c>
      <c r="P21" s="55">
        <f>'Race #1'!E20</f>
        <v>5.4420000000000002</v>
      </c>
      <c r="Q21" s="53"/>
      <c r="S21" s="33" t="s">
        <v>94</v>
      </c>
      <c r="T21" s="55">
        <f>'Race #2'!E20</f>
        <v>0</v>
      </c>
      <c r="U21" s="53"/>
      <c r="W21" s="33" t="s">
        <v>94</v>
      </c>
      <c r="X21" s="85">
        <f>'Race #3'!E20</f>
        <v>6.98</v>
      </c>
      <c r="Y21" s="53"/>
      <c r="AA21" s="33" t="s">
        <v>94</v>
      </c>
      <c r="AB21" s="85">
        <f>'Race #4'!E20</f>
        <v>6.3374477980972266</v>
      </c>
      <c r="AC21" s="53"/>
      <c r="AE21" s="33" t="s">
        <v>94</v>
      </c>
      <c r="AF21" s="55">
        <f>'Race #5'!E20</f>
        <v>0</v>
      </c>
      <c r="AG21" s="53"/>
      <c r="AI21" s="33" t="s">
        <v>94</v>
      </c>
      <c r="AJ21" s="55">
        <f>'Race #6'!E20</f>
        <v>0</v>
      </c>
      <c r="AK21" s="53"/>
      <c r="AM21" s="33" t="s">
        <v>94</v>
      </c>
      <c r="AN21" s="55">
        <f>'Race #7'!E20</f>
        <v>0</v>
      </c>
      <c r="AO21" s="53"/>
      <c r="AQ21" s="33" t="s">
        <v>94</v>
      </c>
      <c r="AR21" s="55">
        <f>'Race #8'!E20</f>
        <v>0</v>
      </c>
      <c r="AS21" s="53"/>
      <c r="AU21" s="33" t="s">
        <v>94</v>
      </c>
      <c r="AV21" s="55">
        <f>'Race #9'!E20</f>
        <v>0</v>
      </c>
      <c r="AW21" s="53"/>
      <c r="AY21" s="33" t="s">
        <v>94</v>
      </c>
      <c r="AZ21" s="55">
        <f>'Race #10'!E20</f>
        <v>0</v>
      </c>
      <c r="BA21" s="53"/>
      <c r="BC21" s="33" t="s">
        <v>94</v>
      </c>
      <c r="BD21" s="55">
        <f>'Race #11'!E20</f>
        <v>0</v>
      </c>
      <c r="BE21" s="53"/>
    </row>
    <row r="22" spans="1:66" ht="20" customHeight="1" x14ac:dyDescent="0.2">
      <c r="M22" s="53"/>
      <c r="O22" s="33" t="s">
        <v>95</v>
      </c>
      <c r="P22" s="53" t="str">
        <f>'Race #1'!E21</f>
        <v>Yes</v>
      </c>
      <c r="Q22" s="53"/>
      <c r="S22" s="33" t="s">
        <v>95</v>
      </c>
      <c r="T22" s="53" t="str">
        <f>'Race #2'!E21</f>
        <v>Yes</v>
      </c>
      <c r="U22" s="53"/>
      <c r="W22" s="33" t="s">
        <v>95</v>
      </c>
      <c r="X22" s="33" t="str">
        <f>'Race #3'!E21</f>
        <v>Yes</v>
      </c>
      <c r="Y22" s="53"/>
      <c r="AA22" s="33" t="s">
        <v>95</v>
      </c>
      <c r="AB22" s="33" t="str">
        <f>'Race #4'!E21</f>
        <v>Yes</v>
      </c>
      <c r="AC22" s="53"/>
      <c r="AE22" s="33" t="s">
        <v>95</v>
      </c>
      <c r="AF22" s="53" t="str">
        <f>'Race #5'!E21</f>
        <v>No</v>
      </c>
      <c r="AG22" s="53"/>
      <c r="AI22" s="33" t="s">
        <v>95</v>
      </c>
      <c r="AJ22" s="53" t="str">
        <f>'Race #6'!E21</f>
        <v>Yes</v>
      </c>
      <c r="AK22" s="53"/>
      <c r="AM22" s="33" t="s">
        <v>95</v>
      </c>
      <c r="AN22" s="53" t="str">
        <f>'Race #7'!E21</f>
        <v>No</v>
      </c>
      <c r="AO22" s="53"/>
      <c r="AQ22" s="33" t="s">
        <v>95</v>
      </c>
      <c r="AR22" s="53" t="str">
        <f>'Race #8'!E21</f>
        <v>Yes</v>
      </c>
      <c r="AS22" s="53"/>
      <c r="AU22" s="33" t="s">
        <v>95</v>
      </c>
      <c r="AV22" s="53" t="str">
        <f>'Race #9'!E21</f>
        <v>No</v>
      </c>
      <c r="AW22" s="53"/>
      <c r="AY22" s="33" t="s">
        <v>95</v>
      </c>
      <c r="AZ22" s="53" t="str">
        <f>'Race #10'!E21</f>
        <v>Yes</v>
      </c>
      <c r="BA22" s="53"/>
      <c r="BC22" s="33" t="s">
        <v>95</v>
      </c>
      <c r="BD22" s="53" t="str">
        <f>'Race #11'!E21</f>
        <v>Yes</v>
      </c>
      <c r="BE22" s="53"/>
    </row>
    <row r="24" spans="1:66" x14ac:dyDescent="0.2">
      <c r="H24" s="7"/>
    </row>
    <row r="25" spans="1:66" x14ac:dyDescent="0.2">
      <c r="H25" s="7"/>
    </row>
    <row r="26" spans="1:66" x14ac:dyDescent="0.2">
      <c r="H26" s="7"/>
      <c r="BG26"/>
      <c r="BH26"/>
      <c r="BI26"/>
      <c r="BJ26"/>
      <c r="BK26"/>
      <c r="BL26"/>
      <c r="BM26"/>
      <c r="BN26"/>
    </row>
    <row r="27" spans="1:66" x14ac:dyDescent="0.2">
      <c r="P27" s="289"/>
      <c r="BG27"/>
      <c r="BH27"/>
      <c r="BI27"/>
      <c r="BJ27"/>
      <c r="BK27"/>
      <c r="BL27"/>
      <c r="BM27"/>
      <c r="BN27"/>
    </row>
    <row r="28" spans="1:66" x14ac:dyDescent="0.2">
      <c r="BG28"/>
      <c r="BH28"/>
      <c r="BI28" s="50"/>
      <c r="BJ28"/>
      <c r="BK28"/>
      <c r="BL28"/>
      <c r="BM28"/>
      <c r="BN28"/>
    </row>
    <row r="29" spans="1:66" x14ac:dyDescent="0.2">
      <c r="H29" s="7"/>
      <c r="N29" s="30"/>
      <c r="BG29"/>
      <c r="BH29"/>
      <c r="BI29"/>
      <c r="BJ29"/>
      <c r="BK29"/>
      <c r="BL29"/>
      <c r="BM29"/>
      <c r="BN29"/>
    </row>
    <row r="30" spans="1:66" x14ac:dyDescent="0.2">
      <c r="N30" s="31"/>
      <c r="BG30"/>
      <c r="BH30"/>
      <c r="BI30"/>
      <c r="BJ30"/>
      <c r="BK30"/>
      <c r="BL30"/>
      <c r="BM30"/>
      <c r="BN30"/>
    </row>
    <row r="31" spans="1:66" x14ac:dyDescent="0.2">
      <c r="K31" s="3"/>
      <c r="N31" s="31"/>
      <c r="BG31"/>
      <c r="BH31"/>
      <c r="BI31"/>
      <c r="BJ31"/>
      <c r="BK31"/>
      <c r="BL31"/>
      <c r="BM31"/>
      <c r="BN31"/>
    </row>
    <row r="32" spans="1:66" x14ac:dyDescent="0.2">
      <c r="N32" s="31"/>
      <c r="BG32"/>
      <c r="BH32"/>
      <c r="BI32"/>
      <c r="BJ32"/>
      <c r="BK32"/>
      <c r="BL32"/>
      <c r="BM32"/>
      <c r="BN32"/>
    </row>
    <row r="33" spans="14:66" x14ac:dyDescent="0.2">
      <c r="N33" s="30"/>
      <c r="BG33"/>
      <c r="BH33"/>
      <c r="BI33"/>
      <c r="BJ33"/>
      <c r="BK33"/>
      <c r="BL33"/>
      <c r="BM33"/>
      <c r="BN33"/>
    </row>
    <row r="34" spans="14:66" x14ac:dyDescent="0.2">
      <c r="N34" s="31"/>
      <c r="BG34"/>
      <c r="BH34"/>
      <c r="BI34"/>
      <c r="BJ34"/>
      <c r="BK34"/>
      <c r="BL34"/>
      <c r="BM34"/>
      <c r="BN34"/>
    </row>
    <row r="35" spans="14:66" x14ac:dyDescent="0.2">
      <c r="N35" s="31"/>
      <c r="BG35"/>
      <c r="BH35"/>
      <c r="BI35"/>
      <c r="BJ35"/>
      <c r="BK35"/>
      <c r="BL35"/>
      <c r="BM35"/>
      <c r="BN35"/>
    </row>
    <row r="36" spans="14:66" x14ac:dyDescent="0.2">
      <c r="N36" s="30"/>
      <c r="BG36"/>
      <c r="BH36"/>
      <c r="BI36"/>
      <c r="BJ36"/>
      <c r="BK36"/>
      <c r="BL36"/>
      <c r="BM36"/>
      <c r="BN36"/>
    </row>
    <row r="37" spans="14:66" x14ac:dyDescent="0.2">
      <c r="N37" s="32"/>
      <c r="BG37"/>
      <c r="BH37"/>
      <c r="BI37"/>
      <c r="BJ37"/>
      <c r="BK37"/>
      <c r="BL37"/>
      <c r="BM37"/>
      <c r="BN37"/>
    </row>
    <row r="38" spans="14:66" x14ac:dyDescent="0.2">
      <c r="N38" s="32"/>
      <c r="BG38"/>
      <c r="BH38"/>
      <c r="BI38"/>
      <c r="BJ38"/>
      <c r="BK38"/>
      <c r="BL38"/>
      <c r="BM38"/>
      <c r="BN38"/>
    </row>
    <row r="39" spans="14:66" x14ac:dyDescent="0.2">
      <c r="N39" s="30"/>
      <c r="BG39"/>
      <c r="BH39"/>
      <c r="BI39"/>
      <c r="BJ39"/>
      <c r="BK39"/>
      <c r="BL39"/>
      <c r="BM39"/>
      <c r="BN39"/>
    </row>
    <row r="40" spans="14:66" x14ac:dyDescent="0.2">
      <c r="N40" s="31"/>
      <c r="BG40"/>
      <c r="BH40"/>
      <c r="BI40"/>
      <c r="BJ40"/>
      <c r="BK40"/>
      <c r="BL40"/>
      <c r="BM40"/>
      <c r="BN40"/>
    </row>
    <row r="41" spans="14:66" x14ac:dyDescent="0.2">
      <c r="N41" s="31"/>
      <c r="BG41"/>
      <c r="BH41"/>
      <c r="BI41"/>
      <c r="BJ41"/>
      <c r="BK41"/>
      <c r="BL41"/>
      <c r="BM41"/>
      <c r="BN41"/>
    </row>
    <row r="42" spans="14:66" x14ac:dyDescent="0.2">
      <c r="N42" s="30"/>
      <c r="BG42"/>
      <c r="BH42"/>
      <c r="BI42"/>
      <c r="BJ42"/>
      <c r="BK42"/>
      <c r="BL42"/>
      <c r="BM42"/>
      <c r="BN42"/>
    </row>
    <row r="43" spans="14:66" x14ac:dyDescent="0.2">
      <c r="N43" s="30"/>
      <c r="BG43"/>
      <c r="BH43"/>
      <c r="BI43"/>
      <c r="BJ43"/>
      <c r="BK43"/>
      <c r="BL43"/>
      <c r="BM43"/>
      <c r="BN43"/>
    </row>
    <row r="44" spans="14:66" x14ac:dyDescent="0.2">
      <c r="N44" s="30"/>
      <c r="BG44"/>
      <c r="BH44"/>
      <c r="BI44"/>
      <c r="BJ44"/>
      <c r="BK44"/>
      <c r="BL44"/>
      <c r="BM44"/>
      <c r="BN44"/>
    </row>
    <row r="45" spans="14:66" x14ac:dyDescent="0.2">
      <c r="N45" s="30"/>
      <c r="BG45"/>
      <c r="BH45"/>
      <c r="BI45"/>
      <c r="BJ45"/>
      <c r="BK45"/>
      <c r="BL45"/>
      <c r="BM45"/>
      <c r="BN45"/>
    </row>
    <row r="46" spans="14:66" x14ac:dyDescent="0.2">
      <c r="N46" s="30"/>
      <c r="BG46"/>
      <c r="BH46"/>
      <c r="BI46"/>
      <c r="BJ46"/>
      <c r="BK46"/>
      <c r="BL46"/>
      <c r="BM46"/>
      <c r="BN46"/>
    </row>
    <row r="51" spans="35:35" x14ac:dyDescent="0.2">
      <c r="AI51" s="1" t="s">
        <v>96</v>
      </c>
    </row>
  </sheetData>
  <sortState xmlns:xlrd2="http://schemas.microsoft.com/office/spreadsheetml/2017/richdata2" ref="A5:BN18">
    <sortCondition ref="I5:I18"/>
  </sortState>
  <mergeCells count="14">
    <mergeCell ref="I2:K2"/>
    <mergeCell ref="BG3:BJ3"/>
    <mergeCell ref="BK3:BN3"/>
    <mergeCell ref="AH3:AK3"/>
    <mergeCell ref="N3:Q3"/>
    <mergeCell ref="R3:U3"/>
    <mergeCell ref="V3:Y3"/>
    <mergeCell ref="Z3:AC3"/>
    <mergeCell ref="AD3:AG3"/>
    <mergeCell ref="AL3:AO3"/>
    <mergeCell ref="AP3:AS3"/>
    <mergeCell ref="AT3:AW3"/>
    <mergeCell ref="AX3:BA3"/>
    <mergeCell ref="BB3:BE3"/>
  </mergeCells>
  <phoneticPr fontId="6" type="noConversion"/>
  <conditionalFormatting sqref="M22 O22:Q22 S22:U22 W22:Y22 AA22:AC22 AE22:AG22 AI22:AK22 AM22:AO22 AQ22:AS22 AU22:AW22 AY22:BA22">
    <cfRule type="cellIs" dxfId="23" priority="2" operator="equal">
      <formula>"Yes"</formula>
    </cfRule>
  </conditionalFormatting>
  <conditionalFormatting sqref="BC22:BE22">
    <cfRule type="cellIs" dxfId="22" priority="1" operator="equal">
      <formula>"Yes"</formula>
    </cfRule>
  </conditionalFormatting>
  <pageMargins left="0.45" right="0.45" top="0.75" bottom="0.75" header="0.3" footer="0.3"/>
  <pageSetup scale="38" fitToWidth="2"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22365-60D3-49B0-A3E8-3C2DF6ADA764}">
  <sheetPr>
    <pageSetUpPr fitToPage="1"/>
  </sheetPr>
  <dimension ref="B1:AT44"/>
  <sheetViews>
    <sheetView topLeftCell="D1" zoomScaleNormal="100" workbookViewId="0">
      <selection activeCell="T25" sqref="T25"/>
    </sheetView>
  </sheetViews>
  <sheetFormatPr baseColWidth="10" defaultColWidth="8.83203125" defaultRowHeight="15" x14ac:dyDescent="0.2"/>
  <cols>
    <col min="1" max="1" width="2.83203125" customWidth="1"/>
    <col min="2" max="2" width="12.33203125" customWidth="1"/>
    <col min="3" max="3" width="16.5" customWidth="1"/>
    <col min="4" max="4" width="32" customWidth="1"/>
    <col min="5" max="14" width="10.83203125" customWidth="1"/>
    <col min="15" max="15" width="10.83203125" style="1" customWidth="1"/>
    <col min="16" max="22" width="10.83203125" customWidth="1"/>
    <col min="23" max="26" width="10.83203125" style="1" customWidth="1"/>
    <col min="27" max="41" width="10.83203125" customWidth="1"/>
    <col min="42" max="42" width="16.83203125" customWidth="1"/>
    <col min="43" max="43" width="3.6640625" customWidth="1"/>
    <col min="44" max="44" width="17.5" customWidth="1"/>
    <col min="46" max="46" width="0" hidden="1" customWidth="1"/>
  </cols>
  <sheetData>
    <row r="1" spans="2:46" ht="15" customHeight="1" thickBot="1" x14ac:dyDescent="0.25"/>
    <row r="2" spans="2:46" ht="15" customHeight="1" thickBot="1" x14ac:dyDescent="0.25">
      <c r="B2" s="28" t="s">
        <v>373</v>
      </c>
      <c r="C2" s="17"/>
      <c r="D2" s="17"/>
      <c r="E2" s="17"/>
      <c r="F2" s="17"/>
      <c r="G2" s="17"/>
      <c r="H2" s="17"/>
      <c r="I2" s="17"/>
      <c r="L2" s="17"/>
      <c r="M2" s="17"/>
      <c r="N2" s="17"/>
      <c r="O2" s="29"/>
      <c r="P2" s="17"/>
      <c r="Q2" s="17"/>
      <c r="R2" s="17"/>
      <c r="S2" s="124"/>
      <c r="T2" s="17"/>
      <c r="U2" s="496" t="s">
        <v>0</v>
      </c>
      <c r="V2" s="497"/>
      <c r="W2" s="497"/>
      <c r="X2" s="497"/>
      <c r="Y2" s="497"/>
      <c r="Z2" s="497"/>
      <c r="AA2" s="497"/>
      <c r="AB2" s="497"/>
      <c r="AC2" s="497"/>
      <c r="AD2" s="497"/>
      <c r="AE2" s="497"/>
      <c r="AF2" s="497"/>
      <c r="AG2" s="497"/>
      <c r="AH2" s="497"/>
      <c r="AI2" s="497"/>
      <c r="AJ2" s="498"/>
      <c r="AK2" s="502" t="s">
        <v>1</v>
      </c>
      <c r="AL2" s="503"/>
      <c r="AM2" s="503"/>
      <c r="AN2" s="503"/>
      <c r="AO2" s="504"/>
    </row>
    <row r="3" spans="2:46" s="22" customFormat="1" ht="80" x14ac:dyDescent="0.2">
      <c r="B3" s="315" t="s">
        <v>9</v>
      </c>
      <c r="C3" s="316" t="s">
        <v>10</v>
      </c>
      <c r="D3" s="316" t="s">
        <v>104</v>
      </c>
      <c r="E3" s="317" t="s">
        <v>287</v>
      </c>
      <c r="F3" s="317" t="s">
        <v>106</v>
      </c>
      <c r="G3" s="318" t="s">
        <v>107</v>
      </c>
      <c r="H3" s="319" t="s">
        <v>108</v>
      </c>
      <c r="I3" s="318" t="s">
        <v>109</v>
      </c>
      <c r="J3" s="319" t="s">
        <v>110</v>
      </c>
      <c r="K3" s="319" t="s">
        <v>111</v>
      </c>
      <c r="L3" s="319" t="s">
        <v>112</v>
      </c>
      <c r="M3" s="319" t="s">
        <v>113</v>
      </c>
      <c r="N3" s="319" t="s">
        <v>114</v>
      </c>
      <c r="O3" s="317" t="s">
        <v>115</v>
      </c>
      <c r="P3" s="320" t="s">
        <v>116</v>
      </c>
      <c r="Q3" s="319" t="s">
        <v>117</v>
      </c>
      <c r="R3" s="319" t="s">
        <v>118</v>
      </c>
      <c r="S3" s="319" t="s">
        <v>119</v>
      </c>
      <c r="T3" s="317" t="s">
        <v>120</v>
      </c>
      <c r="U3" s="317" t="s">
        <v>279</v>
      </c>
      <c r="V3" s="321" t="s">
        <v>121</v>
      </c>
      <c r="W3" s="322" t="s">
        <v>122</v>
      </c>
      <c r="X3" s="321" t="s">
        <v>123</v>
      </c>
      <c r="Y3" s="323" t="s">
        <v>124</v>
      </c>
      <c r="Z3" s="324" t="s">
        <v>125</v>
      </c>
      <c r="AA3" s="323" t="s">
        <v>126</v>
      </c>
      <c r="AB3" s="325" t="s">
        <v>127</v>
      </c>
      <c r="AC3" s="325" t="s">
        <v>128</v>
      </c>
      <c r="AD3" s="326" t="s">
        <v>129</v>
      </c>
      <c r="AE3" s="326" t="s">
        <v>130</v>
      </c>
      <c r="AF3" s="326" t="s">
        <v>131</v>
      </c>
      <c r="AG3" s="326" t="s">
        <v>132</v>
      </c>
      <c r="AH3" s="326" t="s">
        <v>133</v>
      </c>
      <c r="AI3" s="326" t="s">
        <v>134</v>
      </c>
      <c r="AJ3" s="325" t="s">
        <v>135</v>
      </c>
      <c r="AK3" s="323" t="s">
        <v>279</v>
      </c>
      <c r="AL3" s="323" t="s">
        <v>124</v>
      </c>
      <c r="AM3" s="323" t="s">
        <v>126</v>
      </c>
      <c r="AN3" s="323" t="s">
        <v>136</v>
      </c>
      <c r="AO3" s="323" t="s">
        <v>137</v>
      </c>
      <c r="AP3" s="327" t="str">
        <f>B3</f>
        <v>Yacht Name</v>
      </c>
      <c r="AQ3" s="79"/>
      <c r="AR3" s="79" t="s">
        <v>138</v>
      </c>
    </row>
    <row r="4" spans="2:46" ht="30" customHeight="1" x14ac:dyDescent="0.2">
      <c r="B4" s="345" t="str">
        <f>'2026 Applebee Finish Summary'!I5</f>
        <v>Estella</v>
      </c>
      <c r="C4" s="419" t="str">
        <f>'2026 Applebee Finish Summary'!J5</f>
        <v>Saffier 33</v>
      </c>
      <c r="D4" s="419" t="str">
        <f>'2026 Applebee Finish Summary'!K5</f>
        <v>Doug Kilgren</v>
      </c>
      <c r="E4" s="162">
        <f>'Handicaps-Roster'!G6</f>
        <v>90</v>
      </c>
      <c r="F4" s="162">
        <f>'Handicaps-Roster'!H6</f>
        <v>110</v>
      </c>
      <c r="G4" s="162">
        <f>'2026 Applebee Finish Summary'!L5</f>
        <v>90</v>
      </c>
      <c r="H4" s="61">
        <f t="shared" ref="H4:H15" si="0">$E$31/($E$24+G4)</f>
        <v>1.1789256672178201</v>
      </c>
      <c r="I4" s="162">
        <f>'2026 Applebee Finish Summary'!M5</f>
        <v>110</v>
      </c>
      <c r="J4" s="61">
        <f t="shared" ref="J4:J15" si="1">$E$31/($E$24+I4)</f>
        <v>1.1432006469990983</v>
      </c>
      <c r="K4" s="61" t="str">
        <f>IF(N4&gt;0,"Yes","No")</f>
        <v>No</v>
      </c>
      <c r="L4" s="328">
        <f t="shared" ref="L4:L14" si="2">IF(K4="Yes",1,0)</f>
        <v>0</v>
      </c>
      <c r="M4" s="329"/>
      <c r="N4" s="329"/>
      <c r="O4" s="59">
        <f>IF(N4&gt;0,1,0)</f>
        <v>0</v>
      </c>
      <c r="P4" s="330" t="str">
        <f t="shared" ref="P4:P17" si="3">IF($N4=0,"",RANK($N4,$N$4:$N$17,1)-COUNTIF($N$4:$N$17,0))</f>
        <v/>
      </c>
      <c r="Q4" s="163">
        <f>N4-M4</f>
        <v>0</v>
      </c>
      <c r="R4" s="164">
        <f>HOUR(Q4)*3600+MINUTE(Q4)*60+SECOND(Q4)</f>
        <v>0</v>
      </c>
      <c r="S4" s="164">
        <f t="shared" ref="S4:S15" si="4">IF(N4&gt;0,($I4*$E$20),0)</f>
        <v>0</v>
      </c>
      <c r="T4" s="331" t="s">
        <v>140</v>
      </c>
      <c r="U4" s="332" t="str">
        <f>IF(O4=1,IF(T4="No",I4,G4),"")</f>
        <v/>
      </c>
      <c r="V4" s="333">
        <f t="shared" ref="V4:V17" si="5">IF(T4="Yes",((I4-G4)*$E$20),0)</f>
        <v>0</v>
      </c>
      <c r="W4" s="333">
        <f t="shared" ref="W4:W7" si="6">IF(T4="Yes",(-(J4-H4)*R4),0)</f>
        <v>0</v>
      </c>
      <c r="X4" s="164">
        <f>R4-S4+V4</f>
        <v>0</v>
      </c>
      <c r="Y4" s="59">
        <f>IF(T4="Yes",R4*H4,R4*J4)</f>
        <v>0</v>
      </c>
      <c r="Z4" s="77" t="str">
        <f t="shared" ref="Z4:Z17" si="7">IF($X4=0,"",RANK($X4,$X$4:$X$17,1)-COUNTIF($X$4:$X$17,0))</f>
        <v/>
      </c>
      <c r="AA4" s="77" t="str">
        <f t="shared" ref="AA4:AA17" si="8">IF($Y4=0,"",RANK($Y4,$Y$4:$Y$17,1)-COUNTIF($Y$4:$Y$17,0))</f>
        <v/>
      </c>
      <c r="AB4" s="169" t="str">
        <f t="shared" ref="AB4:AB15" si="9">IF($E$21="Yes",Z4,AA4)</f>
        <v/>
      </c>
      <c r="AC4" s="169">
        <f t="shared" ref="AC4:AC17" si="10">IF($E$21="Yes",IF(Z4=1,5,IF(Z4=2,4,IF(Z4=3,3,IF(Z4=4,2,IF(Z4=5,1,0))))),IF(AA4=1,5,IF(AA4=2,4,IF(AA4=3,3,IF(AA4=4,2,IF(AA4=5,1,0))))))+L4</f>
        <v>0</v>
      </c>
      <c r="AD4" s="59">
        <f t="shared" ref="AD4:AD15" si="11">Y4/$E$20</f>
        <v>0</v>
      </c>
      <c r="AE4" s="59">
        <f t="shared" ref="AE4:AE15" si="12">IF(AD4&gt;0,((Y4/$E$20)-$E$29),0)</f>
        <v>0</v>
      </c>
      <c r="AF4" s="59">
        <f>IF(AE4&gt;30,30,IF(AE4&lt;-30,-30,(AE4)))</f>
        <v>0</v>
      </c>
      <c r="AG4" s="60">
        <f t="shared" ref="AG4:AG15" si="13">AF4*$E$22</f>
        <v>0</v>
      </c>
      <c r="AH4" s="165">
        <f>MIN(MAX(IF(T4="Yes",G4+AG4,G4),'Handicaps-Roster'!L6),'Handicaps-Roster'!M6)</f>
        <v>90</v>
      </c>
      <c r="AI4" s="165">
        <f>MIN(MAX(IF(T4="No",I4+AG4,I4),'Handicaps-Roster'!N6),'Handicaps-Roster'!O6)</f>
        <v>110</v>
      </c>
      <c r="AJ4" s="169">
        <f>AC4</f>
        <v>0</v>
      </c>
      <c r="AK4" s="162" t="str">
        <f>IF(O4=1,IF(T4="Yes",E4,F4),"")</f>
        <v/>
      </c>
      <c r="AL4" s="195" t="str">
        <f t="shared" ref="AL4:AL15" si="14">IFERROR((($AN$22/($E$24+AK4))*R4),"")</f>
        <v/>
      </c>
      <c r="AM4" s="156" t="str">
        <f t="shared" ref="AM4:AM17" si="15">IF($Y4=0,"",RANK($AL4,$AL$4:$AL$17,1)-COUNTIF($AL$4:$AL$17,0))</f>
        <v/>
      </c>
      <c r="AN4" s="170">
        <f>IF(AM4=1,5,IF(AM4=2,4,IF(AM4=3,3,IF(AM4=4,2,IF(AM4=5,1,0)))))+O4</f>
        <v>0</v>
      </c>
      <c r="AO4" s="170">
        <f t="shared" ref="AO4:AO14" si="16">AN4</f>
        <v>0</v>
      </c>
      <c r="AP4" s="168" t="str">
        <f t="shared" ref="AP4:AP13" si="17">B4</f>
        <v>Estella</v>
      </c>
      <c r="AQ4" s="81"/>
      <c r="AT4" s="1" t="s">
        <v>139</v>
      </c>
    </row>
    <row r="5" spans="2:46" ht="30" customHeight="1" x14ac:dyDescent="0.2">
      <c r="B5" s="346" t="str">
        <f>'2026 Applebee Finish Summary'!I6</f>
        <v>Exit Strategy</v>
      </c>
      <c r="C5" s="420" t="str">
        <f>'2026 Applebee Finish Summary'!J6</f>
        <v>J Boats J-105</v>
      </c>
      <c r="D5" s="420" t="str">
        <f>'2026 Applebee Finish Summary'!K6</f>
        <v>John Stamos/John Woods</v>
      </c>
      <c r="E5" s="46">
        <f>'Handicaps-Roster'!G7</f>
        <v>87</v>
      </c>
      <c r="F5" s="46">
        <f>'Handicaps-Roster'!H7</f>
        <v>110</v>
      </c>
      <c r="G5" s="46">
        <f>'2026 Applebee Finish Summary'!L6</f>
        <v>78</v>
      </c>
      <c r="H5" s="58">
        <f t="shared" si="0"/>
        <v>1.2014529092665682</v>
      </c>
      <c r="I5" s="46">
        <f>'2026 Applebee Finish Summary'!M6</f>
        <v>96.5</v>
      </c>
      <c r="J5" s="58">
        <f t="shared" si="1"/>
        <v>1.1670725862635807</v>
      </c>
      <c r="K5" s="58" t="str">
        <f t="shared" ref="K5:K17" si="18">IF(N5&gt;0,"Yes","No")</f>
        <v>No</v>
      </c>
      <c r="L5" s="334">
        <f t="shared" si="2"/>
        <v>0</v>
      </c>
      <c r="M5" s="329"/>
      <c r="N5" s="329"/>
      <c r="O5" s="34">
        <f t="shared" ref="O5:O17" si="19">IF(N5&gt;0,1,0)</f>
        <v>0</v>
      </c>
      <c r="P5" s="330" t="str">
        <f t="shared" si="3"/>
        <v/>
      </c>
      <c r="Q5" s="160">
        <f>N5-M5</f>
        <v>0</v>
      </c>
      <c r="R5" s="161">
        <f>HOUR(Q5)*3600+MINUTE(Q5)*60+SECOND(Q5)</f>
        <v>0</v>
      </c>
      <c r="S5" s="161">
        <f t="shared" si="4"/>
        <v>0</v>
      </c>
      <c r="T5" s="331" t="s">
        <v>140</v>
      </c>
      <c r="U5" s="335" t="str">
        <f t="shared" ref="U5:U14" si="20">IF(O5=1,IF(T5="No",I5,G5),"")</f>
        <v/>
      </c>
      <c r="V5" s="336">
        <f t="shared" si="5"/>
        <v>0</v>
      </c>
      <c r="W5" s="336">
        <f t="shared" si="6"/>
        <v>0</v>
      </c>
      <c r="X5" s="161">
        <f t="shared" ref="X5:X14" si="21">R5-S5+V5</f>
        <v>0</v>
      </c>
      <c r="Y5" s="34">
        <f t="shared" ref="Y5:Y14" si="22">IF(T5="Yes",R5*H5,R5*J5)</f>
        <v>0</v>
      </c>
      <c r="Z5" s="62" t="str">
        <f t="shared" si="7"/>
        <v/>
      </c>
      <c r="AA5" s="62" t="str">
        <f t="shared" si="8"/>
        <v/>
      </c>
      <c r="AB5" s="169" t="str">
        <f t="shared" si="9"/>
        <v/>
      </c>
      <c r="AC5" s="169">
        <f t="shared" si="10"/>
        <v>0</v>
      </c>
      <c r="AD5" s="34">
        <f t="shared" si="11"/>
        <v>0</v>
      </c>
      <c r="AE5" s="34">
        <f t="shared" si="12"/>
        <v>0</v>
      </c>
      <c r="AF5" s="34">
        <f>IF(AE5&gt;30,30,IF(AE5&lt;-30,-30,(AE5)))</f>
        <v>0</v>
      </c>
      <c r="AG5" s="78">
        <f t="shared" si="13"/>
        <v>0</v>
      </c>
      <c r="AH5" s="166">
        <f>MIN(MAX(IF(T5="Yes",G5+AG5,G5),'Handicaps-Roster'!L7),'Handicaps-Roster'!M7)</f>
        <v>78</v>
      </c>
      <c r="AI5" s="166">
        <f>MIN(MAX(IF(T5="No",I5+AG5,I5),'Handicaps-Roster'!N7),'Handicaps-Roster'!O7)</f>
        <v>96.5</v>
      </c>
      <c r="AJ5" s="169">
        <f>AC5</f>
        <v>0</v>
      </c>
      <c r="AK5" s="46" t="str">
        <f t="shared" ref="AK5:AK14" si="23">IF(O5=1,IF(T5="Yes",E5,F5),"")</f>
        <v/>
      </c>
      <c r="AL5" s="194" t="str">
        <f t="shared" si="14"/>
        <v/>
      </c>
      <c r="AM5" s="156" t="str">
        <f t="shared" si="15"/>
        <v/>
      </c>
      <c r="AN5" s="170">
        <f t="shared" ref="AN5:AN17" si="24">IF(AM5=1,5,IF(AM5=2,4,IF(AM5=3,3,IF(AM5=4,2,IF(AM5=5,1,0)))))+O5</f>
        <v>0</v>
      </c>
      <c r="AO5" s="170">
        <f t="shared" si="16"/>
        <v>0</v>
      </c>
      <c r="AP5" s="167" t="str">
        <f t="shared" si="17"/>
        <v>Exit Strategy</v>
      </c>
      <c r="AQ5" s="81"/>
      <c r="AT5" s="1" t="s">
        <v>140</v>
      </c>
    </row>
    <row r="6" spans="2:46" ht="30" customHeight="1" x14ac:dyDescent="0.2">
      <c r="B6" s="346" t="str">
        <f>'2026 Applebee Finish Summary'!I7</f>
        <v>Magoo</v>
      </c>
      <c r="C6" s="420" t="str">
        <f>'2026 Applebee Finish Summary'!J7</f>
        <v>Catalina 28 MK II</v>
      </c>
      <c r="D6" s="420" t="str">
        <f>'2026 Applebee Finish Summary'!K7</f>
        <v>Steve Luebkeman</v>
      </c>
      <c r="E6" s="46">
        <f>'Handicaps-Roster'!G8</f>
        <v>205</v>
      </c>
      <c r="F6" s="46">
        <f>'Handicaps-Roster'!H8</f>
        <v>208</v>
      </c>
      <c r="G6" s="46">
        <f>'2026 Applebee Finish Summary'!L7</f>
        <v>195</v>
      </c>
      <c r="H6" s="58">
        <f t="shared" si="0"/>
        <v>1.0127683584153087</v>
      </c>
      <c r="I6" s="46">
        <f>'2026 Applebee Finish Summary'!M7</f>
        <v>210</v>
      </c>
      <c r="J6" s="58">
        <f t="shared" si="1"/>
        <v>0.99277950923605907</v>
      </c>
      <c r="K6" s="58" t="str">
        <f t="shared" si="18"/>
        <v>Yes</v>
      </c>
      <c r="L6" s="334">
        <f t="shared" si="2"/>
        <v>1</v>
      </c>
      <c r="M6" s="329">
        <v>0.57356481481481481</v>
      </c>
      <c r="N6" s="329">
        <v>0.6430555555555556</v>
      </c>
      <c r="O6" s="34">
        <f t="shared" si="19"/>
        <v>1</v>
      </c>
      <c r="P6" s="337">
        <f t="shared" si="3"/>
        <v>7</v>
      </c>
      <c r="Q6" s="160">
        <f t="shared" ref="Q6:Q14" si="25">N6-M6</f>
        <v>6.9490740740740797E-2</v>
      </c>
      <c r="R6" s="161">
        <f t="shared" ref="R6:R14" si="26">HOUR(Q6)*3600+MINUTE(Q6)*60+SECOND(Q6)</f>
        <v>6004</v>
      </c>
      <c r="S6" s="161">
        <f t="shared" si="4"/>
        <v>1142.82</v>
      </c>
      <c r="T6" s="331" t="s">
        <v>140</v>
      </c>
      <c r="U6" s="335">
        <f t="shared" si="20"/>
        <v>210</v>
      </c>
      <c r="V6" s="336">
        <f t="shared" si="5"/>
        <v>0</v>
      </c>
      <c r="W6" s="336">
        <f t="shared" si="6"/>
        <v>0</v>
      </c>
      <c r="X6" s="161">
        <f t="shared" si="21"/>
        <v>4861.18</v>
      </c>
      <c r="Y6" s="34">
        <f t="shared" si="22"/>
        <v>5960.648173453299</v>
      </c>
      <c r="Z6" s="62">
        <f t="shared" si="7"/>
        <v>7</v>
      </c>
      <c r="AA6" s="62">
        <f t="shared" si="8"/>
        <v>7</v>
      </c>
      <c r="AB6" s="169">
        <f t="shared" si="9"/>
        <v>7</v>
      </c>
      <c r="AC6" s="169">
        <f t="shared" si="10"/>
        <v>1</v>
      </c>
      <c r="AD6" s="34">
        <f t="shared" si="11"/>
        <v>1095.3046992747702</v>
      </c>
      <c r="AE6" s="34">
        <f t="shared" si="12"/>
        <v>238.95954517032055</v>
      </c>
      <c r="AF6" s="34">
        <f t="shared" ref="AF6:AF14" si="27">IF(AE6&gt;30,30,IF(AE6&lt;-30,-30,(AE6)))</f>
        <v>30</v>
      </c>
      <c r="AG6" s="78">
        <f t="shared" si="13"/>
        <v>3</v>
      </c>
      <c r="AH6" s="166">
        <f>MIN(MAX(IF(T6="Yes",G6+AG6,G6),'Handicaps-Roster'!L8),'Handicaps-Roster'!M8)</f>
        <v>195</v>
      </c>
      <c r="AI6" s="166">
        <f>MIN(MAX(IF(T6="No",I6+AG6,I6),'Handicaps-Roster'!N8),'Handicaps-Roster'!O8)</f>
        <v>213</v>
      </c>
      <c r="AJ6" s="169">
        <f t="shared" ref="AJ6:AJ14" si="28">AC6</f>
        <v>1</v>
      </c>
      <c r="AK6" s="46">
        <f t="shared" si="23"/>
        <v>208</v>
      </c>
      <c r="AL6" s="194">
        <f t="shared" si="14"/>
        <v>5914.607614021862</v>
      </c>
      <c r="AM6" s="156">
        <f t="shared" si="15"/>
        <v>7</v>
      </c>
      <c r="AN6" s="170">
        <f t="shared" si="24"/>
        <v>1</v>
      </c>
      <c r="AO6" s="170">
        <f t="shared" si="16"/>
        <v>1</v>
      </c>
      <c r="AP6" s="167" t="str">
        <f t="shared" si="17"/>
        <v>Magoo</v>
      </c>
      <c r="AQ6" s="81"/>
    </row>
    <row r="7" spans="2:46" ht="30" customHeight="1" x14ac:dyDescent="0.2">
      <c r="B7" s="345" t="str">
        <f>'2026 Applebee Finish Summary'!I8</f>
        <v>Feng Shui</v>
      </c>
      <c r="C7" s="419" t="str">
        <f>'2026 Applebee Finish Summary'!J8</f>
        <v>C&amp;C 34</v>
      </c>
      <c r="D7" s="419" t="str">
        <f>'2026 Applebee Finish Summary'!K8</f>
        <v>Mike Finazzo</v>
      </c>
      <c r="E7" s="162">
        <f>'Handicaps-Roster'!G9</f>
        <v>157</v>
      </c>
      <c r="F7" s="162">
        <f>'Handicaps-Roster'!H9</f>
        <v>169</v>
      </c>
      <c r="G7" s="162">
        <f>'2026 Applebee Finish Summary'!L8</f>
        <v>175.1</v>
      </c>
      <c r="H7" s="61">
        <f t="shared" si="0"/>
        <v>1.0405632699205694</v>
      </c>
      <c r="I7" s="162">
        <f>'2026 Applebee Finish Summary'!M8</f>
        <v>188.1227776756605</v>
      </c>
      <c r="J7" s="61">
        <f t="shared" si="1"/>
        <v>1.0222045028814246</v>
      </c>
      <c r="K7" s="61" t="str">
        <f t="shared" si="18"/>
        <v>Yes</v>
      </c>
      <c r="L7" s="328">
        <f t="shared" si="2"/>
        <v>1</v>
      </c>
      <c r="M7" s="329">
        <v>0.57495370370370369</v>
      </c>
      <c r="N7" s="329">
        <v>0.62771990740740746</v>
      </c>
      <c r="O7" s="59">
        <f t="shared" si="19"/>
        <v>1</v>
      </c>
      <c r="P7" s="337">
        <f t="shared" si="3"/>
        <v>2</v>
      </c>
      <c r="Q7" s="163">
        <f>N7-M7</f>
        <v>5.2766203703703773E-2</v>
      </c>
      <c r="R7" s="164">
        <f>HOUR(Q7)*3600+MINUTE(Q7)*60+SECOND(Q7)</f>
        <v>4559</v>
      </c>
      <c r="S7" s="164">
        <f t="shared" si="4"/>
        <v>1023.7641561109444</v>
      </c>
      <c r="T7" s="331" t="s">
        <v>140</v>
      </c>
      <c r="U7" s="332">
        <f t="shared" si="20"/>
        <v>188.1227776756605</v>
      </c>
      <c r="V7" s="333">
        <f t="shared" si="5"/>
        <v>0</v>
      </c>
      <c r="W7" s="333">
        <f t="shared" si="6"/>
        <v>0</v>
      </c>
      <c r="X7" s="164">
        <f t="shared" si="21"/>
        <v>3535.2358438890556</v>
      </c>
      <c r="Y7" s="59">
        <f t="shared" si="22"/>
        <v>4660.2303286364149</v>
      </c>
      <c r="Z7" s="77">
        <f t="shared" si="7"/>
        <v>2</v>
      </c>
      <c r="AA7" s="77">
        <f t="shared" si="8"/>
        <v>3</v>
      </c>
      <c r="AB7" s="169">
        <f t="shared" si="9"/>
        <v>2</v>
      </c>
      <c r="AC7" s="169">
        <f t="shared" si="10"/>
        <v>5</v>
      </c>
      <c r="AD7" s="59">
        <f t="shared" si="11"/>
        <v>856.34515410444965</v>
      </c>
      <c r="AE7" s="59">
        <f t="shared" si="12"/>
        <v>0</v>
      </c>
      <c r="AF7" s="59">
        <f>IF(AE7&gt;30,30,IF(AE7&lt;-30,-30,(AE7)))</f>
        <v>0</v>
      </c>
      <c r="AG7" s="60">
        <f t="shared" si="13"/>
        <v>0</v>
      </c>
      <c r="AH7" s="165">
        <f>MIN(MAX(IF(T7="Yes",G7+AG7,G7),'Handicaps-Roster'!L9),'Handicaps-Roster'!M9)</f>
        <v>175.1</v>
      </c>
      <c r="AI7" s="165">
        <f>MIN(MAX(IF(T7="No",I7+AG7,I7),'Handicaps-Roster'!N9),'Handicaps-Roster'!O9)</f>
        <v>188.1227776756605</v>
      </c>
      <c r="AJ7" s="169">
        <f>AC7</f>
        <v>5</v>
      </c>
      <c r="AK7" s="162">
        <f t="shared" si="23"/>
        <v>169</v>
      </c>
      <c r="AL7" s="195">
        <f t="shared" si="14"/>
        <v>4734.7293860520567</v>
      </c>
      <c r="AM7" s="156">
        <f t="shared" si="15"/>
        <v>4</v>
      </c>
      <c r="AN7" s="170">
        <f t="shared" si="24"/>
        <v>3</v>
      </c>
      <c r="AO7" s="170">
        <f t="shared" si="16"/>
        <v>3</v>
      </c>
      <c r="AP7" s="168" t="str">
        <f t="shared" si="17"/>
        <v>Feng Shui</v>
      </c>
      <c r="AQ7" s="81"/>
    </row>
    <row r="8" spans="2:46" ht="30" customHeight="1" x14ac:dyDescent="0.2">
      <c r="B8" s="346" t="str">
        <f>'2026 Applebee Finish Summary'!I9</f>
        <v>Grin</v>
      </c>
      <c r="C8" s="420" t="str">
        <f>'2026 Applebee Finish Summary'!J9</f>
        <v>Ericson 32-200</v>
      </c>
      <c r="D8" s="420" t="str">
        <f>'2026 Applebee Finish Summary'!K9</f>
        <v>John Woomer</v>
      </c>
      <c r="E8" s="46">
        <f>'Handicaps-Roster'!G10</f>
        <v>165</v>
      </c>
      <c r="F8" s="46">
        <f>'Handicaps-Roster'!H10</f>
        <v>177</v>
      </c>
      <c r="G8" s="46">
        <f>'2026 Applebee Finish Summary'!L9</f>
        <v>198</v>
      </c>
      <c r="H8" s="58">
        <f t="shared" si="0"/>
        <v>1.0087064532344985</v>
      </c>
      <c r="I8" s="46">
        <f>'2026 Applebee Finish Summary'!M9</f>
        <v>205.37762972886682</v>
      </c>
      <c r="J8" s="58">
        <f t="shared" si="1"/>
        <v>0.99885460903869694</v>
      </c>
      <c r="K8" s="58" t="str">
        <f t="shared" si="18"/>
        <v>Yes</v>
      </c>
      <c r="L8" s="334">
        <f t="shared" si="2"/>
        <v>1</v>
      </c>
      <c r="M8" s="329">
        <v>0.5738657407407407</v>
      </c>
      <c r="N8" s="329">
        <v>0.62899305555555551</v>
      </c>
      <c r="O8" s="34">
        <f t="shared" si="19"/>
        <v>1</v>
      </c>
      <c r="P8" s="337">
        <f t="shared" si="3"/>
        <v>6</v>
      </c>
      <c r="Q8" s="160">
        <f t="shared" si="25"/>
        <v>5.512731481481481E-2</v>
      </c>
      <c r="R8" s="161">
        <f t="shared" si="26"/>
        <v>4763</v>
      </c>
      <c r="S8" s="161">
        <f t="shared" si="4"/>
        <v>1117.6650609844933</v>
      </c>
      <c r="T8" s="331" t="s">
        <v>140</v>
      </c>
      <c r="U8" s="335">
        <f t="shared" si="20"/>
        <v>205.37762972886682</v>
      </c>
      <c r="V8" s="336">
        <f t="shared" si="5"/>
        <v>0</v>
      </c>
      <c r="W8" s="336">
        <f>IF(T8="Yes",(-(J8-H8)*R8),0)</f>
        <v>0</v>
      </c>
      <c r="X8" s="161">
        <f>R8-S8+V8</f>
        <v>3645.3349390155067</v>
      </c>
      <c r="Y8" s="34">
        <f>IF(T8="Yes",R8*H8,R8*J8)</f>
        <v>4757.5445028513132</v>
      </c>
      <c r="Z8" s="62">
        <f t="shared" si="7"/>
        <v>6</v>
      </c>
      <c r="AA8" s="62">
        <f t="shared" si="8"/>
        <v>5</v>
      </c>
      <c r="AB8" s="169">
        <f t="shared" si="9"/>
        <v>6</v>
      </c>
      <c r="AC8" s="169">
        <f t="shared" si="10"/>
        <v>1</v>
      </c>
      <c r="AD8" s="34">
        <f t="shared" si="11"/>
        <v>874.22721478340918</v>
      </c>
      <c r="AE8" s="34">
        <f t="shared" si="12"/>
        <v>17.882060678959533</v>
      </c>
      <c r="AF8" s="34">
        <f t="shared" si="27"/>
        <v>17.882060678959533</v>
      </c>
      <c r="AG8" s="78">
        <f t="shared" si="13"/>
        <v>1.7882060678959535</v>
      </c>
      <c r="AH8" s="166">
        <f>MIN(MAX(IF(T8="Yes",G8+AG8,G8),'Handicaps-Roster'!L10),'Handicaps-Roster'!M10)</f>
        <v>198</v>
      </c>
      <c r="AI8" s="166">
        <f>MIN(MAX(IF(T8="No",I8+AG8,I8),'Handicaps-Roster'!N10),'Handicaps-Roster'!O10)</f>
        <v>207.16583579676276</v>
      </c>
      <c r="AJ8" s="169">
        <f t="shared" si="28"/>
        <v>1</v>
      </c>
      <c r="AK8" s="46">
        <f t="shared" si="23"/>
        <v>177</v>
      </c>
      <c r="AL8" s="194">
        <f t="shared" si="14"/>
        <v>4892.1597563371988</v>
      </c>
      <c r="AM8" s="156">
        <f t="shared" si="15"/>
        <v>6</v>
      </c>
      <c r="AN8" s="170">
        <f t="shared" si="24"/>
        <v>1</v>
      </c>
      <c r="AO8" s="170">
        <f t="shared" si="16"/>
        <v>1</v>
      </c>
      <c r="AP8" s="167" t="str">
        <f t="shared" si="17"/>
        <v>Grin</v>
      </c>
      <c r="AQ8" s="81"/>
    </row>
    <row r="9" spans="2:46" ht="30" customHeight="1" x14ac:dyDescent="0.2">
      <c r="B9" s="345" t="str">
        <f>'2026 Applebee Finish Summary'!I10</f>
        <v>Kristin B II</v>
      </c>
      <c r="C9" s="419" t="str">
        <f>'2026 Applebee Finish Summary'!J10</f>
        <v>Catalina 36 TM</v>
      </c>
      <c r="D9" s="419" t="str">
        <f>'2026 Applebee Finish Summary'!K10</f>
        <v>Mike Cann</v>
      </c>
      <c r="E9" s="162">
        <f>'Handicaps-Roster'!G11</f>
        <v>154</v>
      </c>
      <c r="F9" s="162">
        <f>'Handicaps-Roster'!H11</f>
        <v>163</v>
      </c>
      <c r="G9" s="162">
        <f>'2026 Applebee Finish Summary'!L10</f>
        <v>179.3</v>
      </c>
      <c r="H9" s="61">
        <f t="shared" si="0"/>
        <v>1.0345707212661523</v>
      </c>
      <c r="I9" s="162">
        <f>'2026 Applebee Finish Summary'!M10</f>
        <v>189.37685101517241</v>
      </c>
      <c r="J9" s="61">
        <f t="shared" si="1"/>
        <v>1.0204707193408222</v>
      </c>
      <c r="K9" s="61" t="str">
        <f t="shared" si="18"/>
        <v>Yes</v>
      </c>
      <c r="L9" s="328">
        <f t="shared" si="2"/>
        <v>1</v>
      </c>
      <c r="M9" s="329">
        <v>0.57487268518518519</v>
      </c>
      <c r="N9" s="329">
        <v>0.62887731481481479</v>
      </c>
      <c r="O9" s="59">
        <f t="shared" si="19"/>
        <v>1</v>
      </c>
      <c r="P9" s="337">
        <f t="shared" si="3"/>
        <v>4</v>
      </c>
      <c r="Q9" s="163">
        <f t="shared" si="25"/>
        <v>5.4004629629629597E-2</v>
      </c>
      <c r="R9" s="164">
        <f t="shared" si="26"/>
        <v>4666</v>
      </c>
      <c r="S9" s="164">
        <f t="shared" si="4"/>
        <v>1030.5888232245682</v>
      </c>
      <c r="T9" s="331" t="s">
        <v>140</v>
      </c>
      <c r="U9" s="332">
        <f t="shared" si="20"/>
        <v>189.37685101517241</v>
      </c>
      <c r="V9" s="333">
        <f t="shared" si="5"/>
        <v>0</v>
      </c>
      <c r="W9" s="333">
        <f t="shared" ref="W9:W17" si="29">IF(T9="Yes",(-(J9-H9)*R9),0)</f>
        <v>0</v>
      </c>
      <c r="X9" s="164">
        <f>R9-S9+V9</f>
        <v>3635.4111767754321</v>
      </c>
      <c r="Y9" s="59">
        <f t="shared" si="22"/>
        <v>4761.5163764442768</v>
      </c>
      <c r="Z9" s="77">
        <f t="shared" si="7"/>
        <v>4</v>
      </c>
      <c r="AA9" s="77">
        <f t="shared" si="8"/>
        <v>6</v>
      </c>
      <c r="AB9" s="169">
        <f t="shared" si="9"/>
        <v>4</v>
      </c>
      <c r="AC9" s="169">
        <f t="shared" si="10"/>
        <v>3</v>
      </c>
      <c r="AD9" s="59">
        <f t="shared" si="11"/>
        <v>874.95707027641981</v>
      </c>
      <c r="AE9" s="59">
        <f t="shared" si="12"/>
        <v>18.611916171970165</v>
      </c>
      <c r="AF9" s="59">
        <f t="shared" si="27"/>
        <v>18.611916171970165</v>
      </c>
      <c r="AG9" s="60">
        <f t="shared" si="13"/>
        <v>1.8611916171970166</v>
      </c>
      <c r="AH9" s="165">
        <f>MIN(MAX(IF(T9="Yes",G9+AG9,G9),'Handicaps-Roster'!L11),'Handicaps-Roster'!M11)</f>
        <v>179.3</v>
      </c>
      <c r="AI9" s="165">
        <f>MIN(MAX(IF(T9="No",I9+AG9,I9),'Handicaps-Roster'!N11),'Handicaps-Roster'!O11)</f>
        <v>191.23804263236943</v>
      </c>
      <c r="AJ9" s="169">
        <f t="shared" si="28"/>
        <v>3</v>
      </c>
      <c r="AK9" s="162">
        <f t="shared" si="23"/>
        <v>163</v>
      </c>
      <c r="AL9" s="195">
        <f t="shared" si="14"/>
        <v>4886.6323382087758</v>
      </c>
      <c r="AM9" s="156">
        <f t="shared" si="15"/>
        <v>5</v>
      </c>
      <c r="AN9" s="170">
        <f t="shared" si="24"/>
        <v>2</v>
      </c>
      <c r="AO9" s="170">
        <f t="shared" si="16"/>
        <v>2</v>
      </c>
      <c r="AP9" s="168" t="str">
        <f t="shared" si="17"/>
        <v>Kristin B II</v>
      </c>
      <c r="AQ9" s="81"/>
    </row>
    <row r="10" spans="2:46" ht="30" customHeight="1" x14ac:dyDescent="0.2">
      <c r="B10" s="346" t="str">
        <f>'2026 Applebee Finish Summary'!I11</f>
        <v>MacGuffin</v>
      </c>
      <c r="C10" s="420" t="str">
        <f>'2026 Applebee Finish Summary'!J11</f>
        <v>Shock Harbor 25</v>
      </c>
      <c r="D10" s="420" t="str">
        <f>'2026 Applebee Finish Summary'!K11</f>
        <v>Darryl Rosenbaum</v>
      </c>
      <c r="E10" s="46">
        <f>'Handicaps-Roster'!G12</f>
        <v>204</v>
      </c>
      <c r="F10" s="46">
        <f>'Handicaps-Roster'!H12</f>
        <v>204</v>
      </c>
      <c r="G10" s="46">
        <f>'2026 Applebee Finish Summary'!L11</f>
        <v>204</v>
      </c>
      <c r="H10" s="58">
        <f t="shared" si="0"/>
        <v>1.0006796114315715</v>
      </c>
      <c r="I10" s="46">
        <f>'2026 Applebee Finish Summary'!M11</f>
        <v>204</v>
      </c>
      <c r="J10" s="58">
        <f t="shared" si="1"/>
        <v>1.0006796114315715</v>
      </c>
      <c r="K10" s="58" t="str">
        <f t="shared" si="18"/>
        <v>No</v>
      </c>
      <c r="L10" s="334">
        <f t="shared" si="2"/>
        <v>0</v>
      </c>
      <c r="M10" s="329"/>
      <c r="N10" s="329"/>
      <c r="O10" s="34">
        <f t="shared" si="19"/>
        <v>0</v>
      </c>
      <c r="P10" s="337" t="str">
        <f t="shared" si="3"/>
        <v/>
      </c>
      <c r="Q10" s="160">
        <f t="shared" si="25"/>
        <v>0</v>
      </c>
      <c r="R10" s="161">
        <f t="shared" si="26"/>
        <v>0</v>
      </c>
      <c r="S10" s="161">
        <f t="shared" si="4"/>
        <v>0</v>
      </c>
      <c r="T10" s="331" t="s">
        <v>140</v>
      </c>
      <c r="U10" s="335" t="str">
        <f t="shared" si="20"/>
        <v/>
      </c>
      <c r="V10" s="336">
        <f t="shared" si="5"/>
        <v>0</v>
      </c>
      <c r="W10" s="336">
        <f t="shared" si="29"/>
        <v>0</v>
      </c>
      <c r="X10" s="161">
        <f t="shared" si="21"/>
        <v>0</v>
      </c>
      <c r="Y10" s="34">
        <f t="shared" si="22"/>
        <v>0</v>
      </c>
      <c r="Z10" s="62" t="str">
        <f t="shared" si="7"/>
        <v/>
      </c>
      <c r="AA10" s="62" t="str">
        <f t="shared" si="8"/>
        <v/>
      </c>
      <c r="AB10" s="169" t="str">
        <f t="shared" si="9"/>
        <v/>
      </c>
      <c r="AC10" s="169">
        <f t="shared" si="10"/>
        <v>0</v>
      </c>
      <c r="AD10" s="34">
        <f t="shared" si="11"/>
        <v>0</v>
      </c>
      <c r="AE10" s="34">
        <f t="shared" si="12"/>
        <v>0</v>
      </c>
      <c r="AF10" s="34">
        <f t="shared" si="27"/>
        <v>0</v>
      </c>
      <c r="AG10" s="78">
        <f t="shared" si="13"/>
        <v>0</v>
      </c>
      <c r="AH10" s="166">
        <f>MIN(MAX(IF(T10="Yes",G10+AG10,G10),'Handicaps-Roster'!L12),'Handicaps-Roster'!M12)</f>
        <v>204</v>
      </c>
      <c r="AI10" s="166">
        <f>MIN(MAX(IF(T10="No",I10+AG10,I10),'Handicaps-Roster'!N12),'Handicaps-Roster'!O12)</f>
        <v>204</v>
      </c>
      <c r="AJ10" s="169">
        <f t="shared" si="28"/>
        <v>0</v>
      </c>
      <c r="AK10" s="46" t="str">
        <f t="shared" si="23"/>
        <v/>
      </c>
      <c r="AL10" s="194" t="str">
        <f t="shared" si="14"/>
        <v/>
      </c>
      <c r="AM10" s="156" t="str">
        <f t="shared" si="15"/>
        <v/>
      </c>
      <c r="AN10" s="170">
        <f t="shared" si="24"/>
        <v>0</v>
      </c>
      <c r="AO10" s="170">
        <f t="shared" si="16"/>
        <v>0</v>
      </c>
      <c r="AP10" s="167" t="str">
        <f t="shared" si="17"/>
        <v>MacGuffin</v>
      </c>
      <c r="AQ10" s="81"/>
    </row>
    <row r="11" spans="2:46" ht="30" customHeight="1" x14ac:dyDescent="0.2">
      <c r="B11" s="345" t="str">
        <f>'2026 Applebee Finish Summary'!I12</f>
        <v>Mirabelle</v>
      </c>
      <c r="C11" s="419" t="str">
        <f>'2026 Applebee Finish Summary'!J12</f>
        <v>Cape Dory 32</v>
      </c>
      <c r="D11" s="419" t="str">
        <f>'2026 Applebee Finish Summary'!K12</f>
        <v>Campbell McLeod</v>
      </c>
      <c r="E11" s="162">
        <f>'Handicaps-Roster'!G13</f>
        <v>204</v>
      </c>
      <c r="F11" s="162">
        <f>'Handicaps-Roster'!H13</f>
        <v>216</v>
      </c>
      <c r="G11" s="162">
        <f>'2026 Applebee Finish Summary'!L12</f>
        <v>233.5</v>
      </c>
      <c r="H11" s="61">
        <f t="shared" si="0"/>
        <v>0.96300245950147401</v>
      </c>
      <c r="I11" s="162">
        <f>'2026 Applebee Finish Summary'!M12</f>
        <v>244.63132491716539</v>
      </c>
      <c r="J11" s="61">
        <f t="shared" si="1"/>
        <v>0.94951256433045528</v>
      </c>
      <c r="K11" s="61" t="str">
        <f t="shared" si="18"/>
        <v>No</v>
      </c>
      <c r="L11" s="328">
        <f t="shared" si="2"/>
        <v>0</v>
      </c>
      <c r="M11" s="329"/>
      <c r="N11" s="329"/>
      <c r="O11" s="59">
        <f t="shared" si="19"/>
        <v>0</v>
      </c>
      <c r="P11" s="337" t="str">
        <f t="shared" si="3"/>
        <v/>
      </c>
      <c r="Q11" s="163">
        <f t="shared" si="25"/>
        <v>0</v>
      </c>
      <c r="R11" s="164">
        <f t="shared" si="26"/>
        <v>0</v>
      </c>
      <c r="S11" s="164">
        <f t="shared" si="4"/>
        <v>0</v>
      </c>
      <c r="T11" s="331" t="s">
        <v>140</v>
      </c>
      <c r="U11" s="332" t="str">
        <f t="shared" si="20"/>
        <v/>
      </c>
      <c r="V11" s="333">
        <f t="shared" si="5"/>
        <v>0</v>
      </c>
      <c r="W11" s="333">
        <f t="shared" si="29"/>
        <v>0</v>
      </c>
      <c r="X11" s="164">
        <f t="shared" si="21"/>
        <v>0</v>
      </c>
      <c r="Y11" s="59">
        <f t="shared" si="22"/>
        <v>0</v>
      </c>
      <c r="Z11" s="77" t="str">
        <f t="shared" si="7"/>
        <v/>
      </c>
      <c r="AA11" s="77" t="str">
        <f t="shared" si="8"/>
        <v/>
      </c>
      <c r="AB11" s="169" t="str">
        <f t="shared" si="9"/>
        <v/>
      </c>
      <c r="AC11" s="169">
        <f t="shared" si="10"/>
        <v>0</v>
      </c>
      <c r="AD11" s="59">
        <f t="shared" si="11"/>
        <v>0</v>
      </c>
      <c r="AE11" s="59">
        <f t="shared" si="12"/>
        <v>0</v>
      </c>
      <c r="AF11" s="59">
        <f t="shared" si="27"/>
        <v>0</v>
      </c>
      <c r="AG11" s="60">
        <f t="shared" si="13"/>
        <v>0</v>
      </c>
      <c r="AH11" s="165">
        <f>MIN(MAX(IF(T11="Yes",G11+AG11,G11),'Handicaps-Roster'!L13),'Handicaps-Roster'!M13)</f>
        <v>233.5</v>
      </c>
      <c r="AI11" s="165">
        <f>MIN(MAX(IF(T11="No",I11+AG11,I11),'Handicaps-Roster'!N13),'Handicaps-Roster'!O13)</f>
        <v>244.63132491716539</v>
      </c>
      <c r="AJ11" s="169">
        <f t="shared" si="28"/>
        <v>0</v>
      </c>
      <c r="AK11" s="162" t="str">
        <f t="shared" si="23"/>
        <v/>
      </c>
      <c r="AL11" s="195" t="str">
        <f t="shared" si="14"/>
        <v/>
      </c>
      <c r="AM11" s="156" t="str">
        <f t="shared" si="15"/>
        <v/>
      </c>
      <c r="AN11" s="170">
        <f t="shared" si="24"/>
        <v>0</v>
      </c>
      <c r="AO11" s="170">
        <f t="shared" si="16"/>
        <v>0</v>
      </c>
      <c r="AP11" s="168" t="str">
        <f t="shared" si="17"/>
        <v>Mirabelle</v>
      </c>
      <c r="AQ11" s="81"/>
      <c r="AR11" s="1"/>
    </row>
    <row r="12" spans="2:46" ht="30" customHeight="1" x14ac:dyDescent="0.2">
      <c r="B12" s="346" t="str">
        <f>'2026 Applebee Finish Summary'!I13</f>
        <v>Outrageous</v>
      </c>
      <c r="C12" s="420" t="str">
        <f>'2026 Applebee Finish Summary'!J13</f>
        <v>Tanzer 22</v>
      </c>
      <c r="D12" s="420" t="str">
        <f>'2026 Applebee Finish Summary'!K13</f>
        <v>Don Webb</v>
      </c>
      <c r="E12" s="46">
        <f>'Handicaps-Roster'!G14</f>
        <v>254</v>
      </c>
      <c r="F12" s="46">
        <f>'Handicaps-Roster'!H14</f>
        <v>261</v>
      </c>
      <c r="G12" s="46">
        <f>'2026 Applebee Finish Summary'!L13</f>
        <v>252.6</v>
      </c>
      <c r="H12" s="58">
        <f t="shared" si="0"/>
        <v>0.94008525669001353</v>
      </c>
      <c r="I12" s="46">
        <f>'2026 Applebee Finish Summary'!M13</f>
        <v>255.17561647534984</v>
      </c>
      <c r="J12" s="58">
        <f t="shared" si="1"/>
        <v>0.93707808778695667</v>
      </c>
      <c r="K12" s="58" t="str">
        <f t="shared" si="18"/>
        <v>Yes</v>
      </c>
      <c r="L12" s="334">
        <f t="shared" si="2"/>
        <v>1</v>
      </c>
      <c r="M12" s="329">
        <v>0.57072916666666662</v>
      </c>
      <c r="N12" s="329">
        <v>0.62818287037037035</v>
      </c>
      <c r="O12" s="34">
        <f t="shared" si="19"/>
        <v>1</v>
      </c>
      <c r="P12" s="337">
        <f t="shared" si="3"/>
        <v>3</v>
      </c>
      <c r="Q12" s="160">
        <f t="shared" si="25"/>
        <v>5.7453703703703729E-2</v>
      </c>
      <c r="R12" s="161">
        <f t="shared" si="26"/>
        <v>4964</v>
      </c>
      <c r="S12" s="161">
        <f t="shared" si="4"/>
        <v>1388.6657048588538</v>
      </c>
      <c r="T12" s="331" t="s">
        <v>140</v>
      </c>
      <c r="U12" s="335">
        <f t="shared" si="20"/>
        <v>255.17561647534984</v>
      </c>
      <c r="V12" s="336">
        <f t="shared" si="5"/>
        <v>0</v>
      </c>
      <c r="W12" s="336">
        <f t="shared" si="29"/>
        <v>0</v>
      </c>
      <c r="X12" s="161">
        <f t="shared" si="21"/>
        <v>3575.334295141146</v>
      </c>
      <c r="Y12" s="34">
        <f t="shared" si="22"/>
        <v>4651.655627774453</v>
      </c>
      <c r="Z12" s="62">
        <f t="shared" si="7"/>
        <v>3</v>
      </c>
      <c r="AA12" s="62">
        <f t="shared" si="8"/>
        <v>2</v>
      </c>
      <c r="AB12" s="169">
        <f t="shared" si="9"/>
        <v>3</v>
      </c>
      <c r="AC12" s="169">
        <f t="shared" si="10"/>
        <v>4</v>
      </c>
      <c r="AD12" s="34">
        <f t="shared" si="11"/>
        <v>854.76950161235811</v>
      </c>
      <c r="AE12" s="34">
        <f t="shared" si="12"/>
        <v>-1.5756524920915354</v>
      </c>
      <c r="AF12" s="34">
        <f t="shared" si="27"/>
        <v>-1.5756524920915354</v>
      </c>
      <c r="AG12" s="78">
        <f t="shared" si="13"/>
        <v>-0.15756524920915355</v>
      </c>
      <c r="AH12" s="166">
        <f>MIN(MAX(IF(T12="Yes",G12+AG12,G12),'Handicaps-Roster'!L14),'Handicaps-Roster'!M14)</f>
        <v>252.6</v>
      </c>
      <c r="AI12" s="166">
        <f>MIN(MAX(IF(T12="No",I12+AG12,I12),'Handicaps-Roster'!N14),'Handicaps-Roster'!O14)</f>
        <v>255.0180512261407</v>
      </c>
      <c r="AJ12" s="169">
        <f t="shared" si="28"/>
        <v>4</v>
      </c>
      <c r="AK12" s="46">
        <f t="shared" si="23"/>
        <v>261</v>
      </c>
      <c r="AL12" s="194">
        <f t="shared" si="14"/>
        <v>4570.51752686278</v>
      </c>
      <c r="AM12" s="156">
        <f t="shared" si="15"/>
        <v>2</v>
      </c>
      <c r="AN12" s="170">
        <f t="shared" si="24"/>
        <v>5</v>
      </c>
      <c r="AO12" s="170">
        <f t="shared" si="16"/>
        <v>5</v>
      </c>
      <c r="AP12" s="167" t="str">
        <f t="shared" si="17"/>
        <v>Outrageous</v>
      </c>
      <c r="AQ12" s="81"/>
    </row>
    <row r="13" spans="2:46" ht="30" customHeight="1" x14ac:dyDescent="0.2">
      <c r="B13" s="345" t="str">
        <f>'2026 Applebee Finish Summary'!I14</f>
        <v>Paradox</v>
      </c>
      <c r="C13" s="419" t="str">
        <f>'2026 Applebee Finish Summary'!J14</f>
        <v>J 92</v>
      </c>
      <c r="D13" s="419" t="str">
        <f>'2026 Applebee Finish Summary'!K14</f>
        <v>Glenn VanOtteren/Ted Standiford</v>
      </c>
      <c r="E13" s="162">
        <f>'Handicaps-Roster'!G15</f>
        <v>111</v>
      </c>
      <c r="F13" s="162">
        <f>'Handicaps-Roster'!H15</f>
        <v>132</v>
      </c>
      <c r="G13" s="162">
        <f>'2026 Applebee Finish Summary'!L14</f>
        <v>95.534114240783936</v>
      </c>
      <c r="H13" s="61">
        <f t="shared" si="0"/>
        <v>1.1688188282764744</v>
      </c>
      <c r="I13" s="162">
        <f>'2026 Applebee Finish Summary'!M14</f>
        <v>113.2874601593268</v>
      </c>
      <c r="J13" s="61">
        <f t="shared" si="1"/>
        <v>1.13753458694691</v>
      </c>
      <c r="K13" s="61" t="str">
        <f t="shared" si="18"/>
        <v>Yes</v>
      </c>
      <c r="L13" s="328">
        <f t="shared" si="2"/>
        <v>1</v>
      </c>
      <c r="M13" s="329">
        <v>0.57966435185185183</v>
      </c>
      <c r="N13" s="329">
        <v>0.62222222222222223</v>
      </c>
      <c r="O13" s="59">
        <f t="shared" si="19"/>
        <v>1</v>
      </c>
      <c r="P13" s="337">
        <f t="shared" si="3"/>
        <v>1</v>
      </c>
      <c r="Q13" s="163">
        <f t="shared" si="25"/>
        <v>4.2557870370370399E-2</v>
      </c>
      <c r="R13" s="164">
        <f t="shared" si="26"/>
        <v>3677</v>
      </c>
      <c r="S13" s="164">
        <f t="shared" si="4"/>
        <v>616.51035818705645</v>
      </c>
      <c r="T13" s="331" t="s">
        <v>139</v>
      </c>
      <c r="U13" s="165">
        <f>IF(O13=1,IF(T13="No",I13,G13),"")</f>
        <v>95.534114240783936</v>
      </c>
      <c r="V13" s="333">
        <f t="shared" si="5"/>
        <v>96.613708488710259</v>
      </c>
      <c r="W13" s="333">
        <f t="shared" si="29"/>
        <v>115.03215536880838</v>
      </c>
      <c r="X13" s="164">
        <f t="shared" si="21"/>
        <v>3157.1033503016542</v>
      </c>
      <c r="Y13" s="59">
        <f t="shared" si="22"/>
        <v>4297.7468315725964</v>
      </c>
      <c r="Z13" s="77">
        <f t="shared" si="7"/>
        <v>1</v>
      </c>
      <c r="AA13" s="77">
        <f t="shared" si="8"/>
        <v>1</v>
      </c>
      <c r="AB13" s="169">
        <f t="shared" si="9"/>
        <v>1</v>
      </c>
      <c r="AC13" s="169">
        <f t="shared" si="10"/>
        <v>6</v>
      </c>
      <c r="AD13" s="59">
        <f t="shared" si="11"/>
        <v>789.73664674248369</v>
      </c>
      <c r="AE13" s="59">
        <f t="shared" si="12"/>
        <v>-66.608507361965962</v>
      </c>
      <c r="AF13" s="59">
        <f t="shared" si="27"/>
        <v>-30</v>
      </c>
      <c r="AG13" s="60">
        <f t="shared" si="13"/>
        <v>-3</v>
      </c>
      <c r="AH13" s="165">
        <f>MIN(MAX(IF(T13="Yes",G13+AG13,G13),'Handicaps-Roster'!L15),'Handicaps-Roster'!M15)</f>
        <v>94.35</v>
      </c>
      <c r="AI13" s="165">
        <f>MIN(MAX(IF(T13="No",I13+AG13,I13),'Handicaps-Roster'!N15),'Handicaps-Roster'!O15)</f>
        <v>113.2874601593268</v>
      </c>
      <c r="AJ13" s="169">
        <f t="shared" si="28"/>
        <v>6</v>
      </c>
      <c r="AK13" s="162">
        <f t="shared" si="23"/>
        <v>111</v>
      </c>
      <c r="AL13" s="195">
        <f t="shared" si="14"/>
        <v>4153.8100280959588</v>
      </c>
      <c r="AM13" s="156">
        <f t="shared" si="15"/>
        <v>1</v>
      </c>
      <c r="AN13" s="170">
        <f t="shared" si="24"/>
        <v>6</v>
      </c>
      <c r="AO13" s="170">
        <f t="shared" si="16"/>
        <v>6</v>
      </c>
      <c r="AP13" s="168" t="str">
        <f t="shared" si="17"/>
        <v>Paradox</v>
      </c>
      <c r="AQ13" s="81"/>
    </row>
    <row r="14" spans="2:46" ht="30" customHeight="1" x14ac:dyDescent="0.2">
      <c r="B14" s="346" t="str">
        <f>'2026 Applebee Finish Summary'!I15</f>
        <v>Pegasus</v>
      </c>
      <c r="C14" s="420" t="str">
        <f>'2026 Applebee Finish Summary'!J15</f>
        <v>Catalina 320</v>
      </c>
      <c r="D14" s="420" t="str">
        <f>'2026 Applebee Finish Summary'!K15</f>
        <v>Bill Allen</v>
      </c>
      <c r="E14" s="46">
        <f>'Handicaps-Roster'!G16</f>
        <v>162</v>
      </c>
      <c r="F14" s="46">
        <f>'Handicaps-Roster'!H16</f>
        <v>171</v>
      </c>
      <c r="G14" s="46">
        <f>'2026 Applebee Finish Summary'!L15</f>
        <v>137.69999999999999</v>
      </c>
      <c r="H14" s="58">
        <f t="shared" si="0"/>
        <v>1.0971534492066377</v>
      </c>
      <c r="I14" s="46">
        <f>'2026 Applebee Finish Summary'!M15</f>
        <v>146.67969019901307</v>
      </c>
      <c r="J14" s="58">
        <f t="shared" si="1"/>
        <v>1.083011945997552</v>
      </c>
      <c r="K14" s="58" t="str">
        <f t="shared" si="18"/>
        <v>No</v>
      </c>
      <c r="L14" s="334">
        <f t="shared" si="2"/>
        <v>0</v>
      </c>
      <c r="M14" s="329"/>
      <c r="N14" s="329"/>
      <c r="O14" s="34">
        <f t="shared" si="19"/>
        <v>0</v>
      </c>
      <c r="P14" s="337" t="str">
        <f t="shared" si="3"/>
        <v/>
      </c>
      <c r="Q14" s="160">
        <f t="shared" si="25"/>
        <v>0</v>
      </c>
      <c r="R14" s="161">
        <f t="shared" si="26"/>
        <v>0</v>
      </c>
      <c r="S14" s="161">
        <f t="shared" si="4"/>
        <v>0</v>
      </c>
      <c r="T14" s="331" t="s">
        <v>140</v>
      </c>
      <c r="U14" s="335" t="str">
        <f t="shared" si="20"/>
        <v/>
      </c>
      <c r="V14" s="336">
        <f t="shared" si="5"/>
        <v>0</v>
      </c>
      <c r="W14" s="336">
        <f t="shared" si="29"/>
        <v>0</v>
      </c>
      <c r="X14" s="161">
        <f t="shared" si="21"/>
        <v>0</v>
      </c>
      <c r="Y14" s="34">
        <f t="shared" si="22"/>
        <v>0</v>
      </c>
      <c r="Z14" s="62" t="str">
        <f t="shared" si="7"/>
        <v/>
      </c>
      <c r="AA14" s="62" t="str">
        <f t="shared" si="8"/>
        <v/>
      </c>
      <c r="AB14" s="169" t="str">
        <f t="shared" si="9"/>
        <v/>
      </c>
      <c r="AC14" s="169">
        <f t="shared" si="10"/>
        <v>0</v>
      </c>
      <c r="AD14" s="34">
        <f t="shared" si="11"/>
        <v>0</v>
      </c>
      <c r="AE14" s="34">
        <f t="shared" si="12"/>
        <v>0</v>
      </c>
      <c r="AF14" s="34">
        <f t="shared" si="27"/>
        <v>0</v>
      </c>
      <c r="AG14" s="78">
        <f t="shared" si="13"/>
        <v>0</v>
      </c>
      <c r="AH14" s="166">
        <f>MIN(MAX(IF(T14="Yes",G14+AG14,G14),'Handicaps-Roster'!L16),'Handicaps-Roster'!M16)</f>
        <v>137.69999999999999</v>
      </c>
      <c r="AI14" s="166">
        <f>MIN(MAX(IF(T14="No",I14+AG14,I14),'Handicaps-Roster'!N16),'Handicaps-Roster'!O16)</f>
        <v>146.67969019901307</v>
      </c>
      <c r="AJ14" s="169">
        <f t="shared" si="28"/>
        <v>0</v>
      </c>
      <c r="AK14" s="46" t="str">
        <f t="shared" si="23"/>
        <v/>
      </c>
      <c r="AL14" s="194" t="str">
        <f t="shared" si="14"/>
        <v/>
      </c>
      <c r="AM14" s="156" t="str">
        <f t="shared" si="15"/>
        <v/>
      </c>
      <c r="AN14" s="170">
        <f t="shared" si="24"/>
        <v>0</v>
      </c>
      <c r="AO14" s="170">
        <f t="shared" si="16"/>
        <v>0</v>
      </c>
      <c r="AP14" s="167" t="str">
        <f>B14</f>
        <v>Pegasus</v>
      </c>
      <c r="AQ14" s="81"/>
    </row>
    <row r="15" spans="2:46" ht="30" customHeight="1" x14ac:dyDescent="0.2">
      <c r="B15" s="346" t="str">
        <f>'2026 Applebee Finish Summary'!I16</f>
        <v>Triton</v>
      </c>
      <c r="C15" s="420" t="str">
        <f>'2026 Applebee Finish Summary'!J16</f>
        <v>Hans Christian 43</v>
      </c>
      <c r="D15" s="420" t="str">
        <f>'2026 Applebee Finish Summary'!K16</f>
        <v>Alex Parks</v>
      </c>
      <c r="E15" s="46">
        <f>'Handicaps-Roster'!G17</f>
        <v>162</v>
      </c>
      <c r="F15" s="46">
        <f>'Handicaps-Roster'!H17</f>
        <v>177</v>
      </c>
      <c r="G15" s="46">
        <f>'2026 Applebee Finish Summary'!L16</f>
        <v>194.4</v>
      </c>
      <c r="H15" s="58">
        <f t="shared" si="0"/>
        <v>1.0135846682152134</v>
      </c>
      <c r="I15" s="46">
        <f>'2026 Applebee Finish Summary'!M16</f>
        <v>212.4</v>
      </c>
      <c r="J15" s="58">
        <f t="shared" si="1"/>
        <v>0.98965428517760345</v>
      </c>
      <c r="K15" s="412" t="str">
        <f t="shared" si="18"/>
        <v>No</v>
      </c>
      <c r="L15" s="334">
        <f>IF(K15="Yes",1,0)</f>
        <v>0</v>
      </c>
      <c r="M15" s="329"/>
      <c r="N15" s="329"/>
      <c r="O15" s="34">
        <f t="shared" si="19"/>
        <v>0</v>
      </c>
      <c r="P15" s="337" t="str">
        <f t="shared" si="3"/>
        <v/>
      </c>
      <c r="Q15" s="160">
        <f>N15-M15</f>
        <v>0</v>
      </c>
      <c r="R15" s="161">
        <f>HOUR(Q15)*3600+MINUTE(Q15)*60+SECOND(Q15)</f>
        <v>0</v>
      </c>
      <c r="S15" s="161">
        <f t="shared" si="4"/>
        <v>0</v>
      </c>
      <c r="T15" s="331" t="s">
        <v>140</v>
      </c>
      <c r="U15" s="335" t="str">
        <f>IF(O15=1,IF(T15="No",I15,G15),"")</f>
        <v/>
      </c>
      <c r="V15" s="336">
        <f t="shared" si="5"/>
        <v>0</v>
      </c>
      <c r="W15" s="336">
        <f t="shared" si="29"/>
        <v>0</v>
      </c>
      <c r="X15" s="161">
        <f>R15-S15+V15</f>
        <v>0</v>
      </c>
      <c r="Y15" s="34">
        <f>IF(T15="Yes",R15*H15,R15*J15)</f>
        <v>0</v>
      </c>
      <c r="Z15" s="62" t="str">
        <f t="shared" si="7"/>
        <v/>
      </c>
      <c r="AA15" s="62" t="str">
        <f t="shared" si="8"/>
        <v/>
      </c>
      <c r="AB15" s="169" t="str">
        <f t="shared" si="9"/>
        <v/>
      </c>
      <c r="AC15" s="169">
        <f t="shared" si="10"/>
        <v>0</v>
      </c>
      <c r="AD15" s="34">
        <f t="shared" si="11"/>
        <v>0</v>
      </c>
      <c r="AE15" s="34">
        <f t="shared" si="12"/>
        <v>0</v>
      </c>
      <c r="AF15" s="34">
        <f>IF(AE15&gt;30,30,IF(AE15&lt;-30,-30,(AE15)))</f>
        <v>0</v>
      </c>
      <c r="AG15" s="78">
        <f t="shared" si="13"/>
        <v>0</v>
      </c>
      <c r="AH15" s="166">
        <f>MIN(MAX(IF(T15="Yes",G15+AG15,G15),'Handicaps-Roster'!L17),'Handicaps-Roster'!M17)</f>
        <v>194.4</v>
      </c>
      <c r="AI15" s="166">
        <f>MIN(MAX(IF(T15="No",I15+AG15,I15),'Handicaps-Roster'!N17),'Handicaps-Roster'!O17)</f>
        <v>212.4</v>
      </c>
      <c r="AJ15" s="169">
        <f>AC15</f>
        <v>0</v>
      </c>
      <c r="AK15" s="46" t="str">
        <f>IF(O15=1,IF(T15="Yes",E15,F15),"")</f>
        <v/>
      </c>
      <c r="AL15" s="194" t="str">
        <f t="shared" si="14"/>
        <v/>
      </c>
      <c r="AM15" s="156" t="str">
        <f t="shared" si="15"/>
        <v/>
      </c>
      <c r="AN15" s="170">
        <f t="shared" si="24"/>
        <v>0</v>
      </c>
      <c r="AO15" s="170">
        <f>AN15</f>
        <v>0</v>
      </c>
      <c r="AP15" s="167" t="str">
        <f>B15</f>
        <v>Triton</v>
      </c>
      <c r="AQ15" s="81"/>
    </row>
    <row r="16" spans="2:46" ht="30" customHeight="1" x14ac:dyDescent="0.2">
      <c r="B16" s="345" t="str">
        <f>'2026 Applebee Finish Summary'!I17</f>
        <v>Lone Gull</v>
      </c>
      <c r="C16" s="419" t="str">
        <f>'2026 Applebee Finish Summary'!J17</f>
        <v>Cal 20</v>
      </c>
      <c r="D16" s="419" t="str">
        <f>'2026 Applebee Finish Summary'!K17</f>
        <v>Kevin Savage</v>
      </c>
      <c r="E16" s="162">
        <f>'Handicaps-Roster'!G18</f>
        <v>280</v>
      </c>
      <c r="F16" s="162">
        <f>'Handicaps-Roster'!H18</f>
        <v>288</v>
      </c>
      <c r="G16" s="162">
        <f>'2026 Applebee Finish Summary'!L17</f>
        <v>280</v>
      </c>
      <c r="H16" s="61">
        <f t="shared" ref="H16:H17" si="30">$E$31/($E$24+G16)</f>
        <v>0.90905111689084928</v>
      </c>
      <c r="I16" s="162">
        <f>'2026 Applebee Finish Summary'!M17</f>
        <v>288</v>
      </c>
      <c r="J16" s="61">
        <f t="shared" ref="J16:J17" si="31">$E$31/($E$24+I16)</f>
        <v>0.90037282460549506</v>
      </c>
      <c r="K16" s="414" t="str">
        <f t="shared" si="18"/>
        <v>Yes</v>
      </c>
      <c r="L16" s="328">
        <f t="shared" ref="L16:L17" si="32">IF(K16="Yes",1,0)</f>
        <v>1</v>
      </c>
      <c r="M16" s="329">
        <v>0.56865740740740744</v>
      </c>
      <c r="N16" s="329">
        <v>0.62893518518518521</v>
      </c>
      <c r="O16" s="59">
        <f t="shared" si="19"/>
        <v>1</v>
      </c>
      <c r="P16" s="337">
        <f t="shared" si="3"/>
        <v>5</v>
      </c>
      <c r="Q16" s="163">
        <f t="shared" ref="Q16:Q17" si="33">N16-M16</f>
        <v>6.0277777777777763E-2</v>
      </c>
      <c r="R16" s="164">
        <f t="shared" ref="R16:R17" si="34">HOUR(Q16)*3600+MINUTE(Q16)*60+SECOND(Q16)</f>
        <v>5208</v>
      </c>
      <c r="S16" s="164">
        <f t="shared" ref="S16:S17" si="35">IF(N16&gt;0,($I16*$E$20),0)</f>
        <v>1567.296</v>
      </c>
      <c r="T16" s="331" t="s">
        <v>140</v>
      </c>
      <c r="U16" s="332">
        <f t="shared" ref="U16:U17" si="36">IF(O16=1,IF(T16="No",I16,G16),"")</f>
        <v>288</v>
      </c>
      <c r="V16" s="333">
        <f t="shared" si="5"/>
        <v>0</v>
      </c>
      <c r="W16" s="333">
        <f t="shared" si="29"/>
        <v>0</v>
      </c>
      <c r="X16" s="164">
        <f t="shared" ref="X16:X17" si="37">R16-S16+V16</f>
        <v>3640.7039999999997</v>
      </c>
      <c r="Y16" s="59">
        <f t="shared" ref="Y16:Y17" si="38">IF(T16="Yes",R16*H16,R16*J16)</f>
        <v>4689.1416705454185</v>
      </c>
      <c r="Z16" s="77">
        <f t="shared" si="7"/>
        <v>5</v>
      </c>
      <c r="AA16" s="77">
        <f t="shared" si="8"/>
        <v>4</v>
      </c>
      <c r="AB16" s="169">
        <f t="shared" ref="AB16:AB17" si="39">IF($E$21="Yes",Z16,AA16)</f>
        <v>5</v>
      </c>
      <c r="AC16" s="169">
        <f t="shared" si="10"/>
        <v>2</v>
      </c>
      <c r="AD16" s="59">
        <f t="shared" ref="AD16:AD17" si="40">Y16/$E$20</f>
        <v>861.65778584076043</v>
      </c>
      <c r="AE16" s="59">
        <f t="shared" ref="AE16:AE17" si="41">IF(AD16&gt;0,((Y16/$E$20)-$E$29),0)</f>
        <v>5.3126317363107773</v>
      </c>
      <c r="AF16" s="59">
        <f t="shared" ref="AF16:AF17" si="42">IF(AE16&gt;30,30,IF(AE16&lt;-30,-30,(AE16)))</f>
        <v>5.3126317363107773</v>
      </c>
      <c r="AG16" s="60">
        <f t="shared" ref="AG16:AG17" si="43">AF16*$E$22</f>
        <v>0.53126317363107778</v>
      </c>
      <c r="AH16" s="165">
        <f>MIN(MAX(IF(T16="Yes",G16+AG16,G16),'Handicaps-Roster'!L18),'Handicaps-Roster'!M18)</f>
        <v>280</v>
      </c>
      <c r="AI16" s="165">
        <f>MIN(MAX(IF(T16="No",I16+AG16,I16),'Handicaps-Roster'!N18),'Handicaps-Roster'!O18)</f>
        <v>288.53126317363109</v>
      </c>
      <c r="AJ16" s="169">
        <f t="shared" ref="AJ16:AJ17" si="44">AC16</f>
        <v>2</v>
      </c>
      <c r="AK16" s="162">
        <f t="shared" ref="AK16:AK17" si="45">IF(O16=1,IF(T16="Yes",E16,F16),"")</f>
        <v>288</v>
      </c>
      <c r="AL16" s="195">
        <f t="shared" ref="AL16:AL17" si="46">IFERROR((($AN$22/($E$24+AK16))*R16),"")</f>
        <v>4640.6778042959431</v>
      </c>
      <c r="AM16" s="156">
        <f t="shared" si="15"/>
        <v>3</v>
      </c>
      <c r="AN16" s="170">
        <f t="shared" si="24"/>
        <v>4</v>
      </c>
      <c r="AO16" s="170">
        <f t="shared" ref="AO16:AO17" si="47">AN16</f>
        <v>4</v>
      </c>
      <c r="AP16" s="168" t="str">
        <f t="shared" ref="AP16:AP17" si="48">B16</f>
        <v>Lone Gull</v>
      </c>
      <c r="AQ16" s="81"/>
    </row>
    <row r="17" spans="2:43" ht="30" customHeight="1" thickBot="1" x14ac:dyDescent="0.25">
      <c r="B17" s="394">
        <f>'2026 Applebee Finish Summary'!I18</f>
        <v>0</v>
      </c>
      <c r="C17" s="421">
        <f>'2026 Applebee Finish Summary'!J18</f>
        <v>0</v>
      </c>
      <c r="D17" s="421">
        <f>'2026 Applebee Finish Summary'!K18</f>
        <v>0</v>
      </c>
      <c r="E17" s="275">
        <f>'Handicaps-Roster'!G19</f>
        <v>0</v>
      </c>
      <c r="F17" s="275">
        <f>'Handicaps-Roster'!H19</f>
        <v>0</v>
      </c>
      <c r="G17" s="275">
        <f>'2026 Applebee Finish Summary'!L18</f>
        <v>0</v>
      </c>
      <c r="H17" s="276">
        <f t="shared" si="30"/>
        <v>1.371840776398918</v>
      </c>
      <c r="I17" s="275">
        <f>'2026 Applebee Finish Summary'!M18</f>
        <v>0</v>
      </c>
      <c r="J17" s="276">
        <f t="shared" si="31"/>
        <v>1.371840776398918</v>
      </c>
      <c r="K17" s="413" t="str">
        <f t="shared" si="18"/>
        <v>No</v>
      </c>
      <c r="L17" s="342">
        <f t="shared" si="32"/>
        <v>0</v>
      </c>
      <c r="M17" s="338"/>
      <c r="N17" s="338"/>
      <c r="O17" s="277">
        <f t="shared" si="19"/>
        <v>0</v>
      </c>
      <c r="P17" s="339" t="str">
        <f t="shared" si="3"/>
        <v/>
      </c>
      <c r="Q17" s="278">
        <f t="shared" si="33"/>
        <v>0</v>
      </c>
      <c r="R17" s="279">
        <f t="shared" si="34"/>
        <v>0</v>
      </c>
      <c r="S17" s="279">
        <f t="shared" si="35"/>
        <v>0</v>
      </c>
      <c r="T17" s="340" t="s">
        <v>140</v>
      </c>
      <c r="U17" s="395" t="str">
        <f t="shared" si="36"/>
        <v/>
      </c>
      <c r="V17" s="343">
        <f t="shared" si="5"/>
        <v>0</v>
      </c>
      <c r="W17" s="343">
        <f t="shared" si="29"/>
        <v>0</v>
      </c>
      <c r="X17" s="279">
        <f t="shared" si="37"/>
        <v>0</v>
      </c>
      <c r="Y17" s="277">
        <f t="shared" si="38"/>
        <v>0</v>
      </c>
      <c r="Z17" s="280" t="str">
        <f t="shared" si="7"/>
        <v/>
      </c>
      <c r="AA17" s="280" t="str">
        <f t="shared" si="8"/>
        <v/>
      </c>
      <c r="AB17" s="171" t="str">
        <f t="shared" si="39"/>
        <v/>
      </c>
      <c r="AC17" s="171">
        <f t="shared" si="10"/>
        <v>0</v>
      </c>
      <c r="AD17" s="277">
        <f t="shared" si="40"/>
        <v>0</v>
      </c>
      <c r="AE17" s="277">
        <f t="shared" si="41"/>
        <v>0</v>
      </c>
      <c r="AF17" s="277">
        <f t="shared" si="42"/>
        <v>0</v>
      </c>
      <c r="AG17" s="281">
        <f t="shared" si="43"/>
        <v>0</v>
      </c>
      <c r="AH17" s="282">
        <f>MIN(MAX(IF(T17="Yes",G17+AG17,G17),'Handicaps-Roster'!L19),'Handicaps-Roster'!M19)</f>
        <v>0</v>
      </c>
      <c r="AI17" s="282">
        <f>MIN(MAX(IF(T17="No",I17+AG17,I17),'Handicaps-Roster'!N19),'Handicaps-Roster'!O19)</f>
        <v>0</v>
      </c>
      <c r="AJ17" s="171">
        <f t="shared" si="44"/>
        <v>0</v>
      </c>
      <c r="AK17" s="275" t="str">
        <f t="shared" si="45"/>
        <v/>
      </c>
      <c r="AL17" s="286" t="str">
        <f t="shared" si="46"/>
        <v/>
      </c>
      <c r="AM17" s="157" t="str">
        <f t="shared" si="15"/>
        <v/>
      </c>
      <c r="AN17" s="172">
        <f t="shared" si="24"/>
        <v>0</v>
      </c>
      <c r="AO17" s="172">
        <f t="shared" si="47"/>
        <v>0</v>
      </c>
      <c r="AP17" s="283">
        <f t="shared" si="48"/>
        <v>0</v>
      </c>
      <c r="AQ17" s="81"/>
    </row>
    <row r="18" spans="2:43" ht="30" customHeight="1" x14ac:dyDescent="0.2">
      <c r="AO18" s="81"/>
    </row>
    <row r="19" spans="2:43" ht="16" thickBot="1" x14ac:dyDescent="0.25">
      <c r="B19" s="4"/>
      <c r="E19" s="5"/>
      <c r="F19" s="11"/>
      <c r="G19" s="5"/>
      <c r="H19" s="11"/>
      <c r="I19" s="11"/>
      <c r="J19" s="11"/>
      <c r="K19" s="11"/>
      <c r="L19" s="11"/>
      <c r="M19" s="11"/>
      <c r="N19" s="13"/>
      <c r="O19" s="13"/>
      <c r="P19" s="11"/>
      <c r="Q19" s="11"/>
      <c r="R19" s="11"/>
      <c r="S19" s="8"/>
      <c r="T19" s="89" t="s">
        <v>146</v>
      </c>
      <c r="U19" s="11"/>
      <c r="V19" s="11"/>
      <c r="W19" s="13"/>
      <c r="X19" s="13"/>
      <c r="Y19" s="18"/>
      <c r="Z19" s="18"/>
      <c r="AA19" s="13"/>
      <c r="AB19" s="13"/>
      <c r="AC19" s="89" t="s">
        <v>186</v>
      </c>
      <c r="AD19" s="13"/>
      <c r="AE19" s="15"/>
      <c r="AF19" s="16"/>
      <c r="AG19" s="11"/>
      <c r="AH19" s="11"/>
      <c r="AI19" s="5"/>
    </row>
    <row r="20" spans="2:43" ht="18" customHeight="1" x14ac:dyDescent="0.35">
      <c r="D20" s="87" t="s">
        <v>141</v>
      </c>
      <c r="E20" s="86">
        <f>Z30</f>
        <v>5.4420000000000002</v>
      </c>
      <c r="G20" s="481" t="s">
        <v>142</v>
      </c>
      <c r="H20" s="482"/>
      <c r="I20" s="485" t="s">
        <v>102</v>
      </c>
      <c r="J20" s="482"/>
      <c r="K20" s="490" t="s">
        <v>143</v>
      </c>
      <c r="L20" s="493"/>
      <c r="M20" s="490" t="s">
        <v>144</v>
      </c>
      <c r="N20" s="491"/>
      <c r="P20" s="486" t="s">
        <v>145</v>
      </c>
      <c r="Q20" s="487"/>
      <c r="U20" s="89" t="s">
        <v>147</v>
      </c>
      <c r="W20" s="89" t="s">
        <v>148</v>
      </c>
      <c r="Z20" s="233" t="s">
        <v>149</v>
      </c>
      <c r="AA20" s="22"/>
      <c r="AK20" s="499" t="s">
        <v>150</v>
      </c>
      <c r="AL20" s="500"/>
      <c r="AM20" s="500"/>
      <c r="AN20" s="501"/>
    </row>
    <row r="21" spans="2:43" ht="18" customHeight="1" x14ac:dyDescent="0.2">
      <c r="D21" s="87" t="s">
        <v>151</v>
      </c>
      <c r="E21" s="24" t="s">
        <v>139</v>
      </c>
      <c r="G21" s="477" t="str">
        <f>IF($E$27&gt;0,"First Place","")</f>
        <v>First Place</v>
      </c>
      <c r="H21" s="478"/>
      <c r="I21" s="483" t="str">
        <f>IF($E$27&gt;0,VLOOKUP(1,$AB$4:$AP$17,15,FALSE),"")</f>
        <v>Paradox</v>
      </c>
      <c r="J21" s="484"/>
      <c r="K21" s="488">
        <f t="shared" ref="K21:K32" si="49">IFERROR(VLOOKUP(I21,$B$4:$Y$17,24,0)-_xlfn.MINIFS($Y$4:$Y$17,$Y$4:$Y$17,"&gt;0"),"")</f>
        <v>0</v>
      </c>
      <c r="L21" s="489"/>
      <c r="M21" s="488">
        <f t="shared" ref="M21:M32" si="50">IFERROR(VLOOKUP(I21,$B$4:$X$17,23,0)-_xlfn.MINIFS($X$4:$X$17,$X$4:$X$17,"&gt;0"),"")</f>
        <v>0</v>
      </c>
      <c r="N21" s="492"/>
      <c r="P21" s="112" t="s">
        <v>93</v>
      </c>
      <c r="Q21" s="112" t="s">
        <v>152</v>
      </c>
      <c r="U21" s="30"/>
      <c r="V21" s="30"/>
      <c r="AC21" t="s">
        <v>374</v>
      </c>
      <c r="AK21" s="145" t="s">
        <v>153</v>
      </c>
      <c r="AL21" s="3"/>
      <c r="AM21" s="3"/>
      <c r="AN21" s="153">
        <f>SUM(AK4:AK17)/E27</f>
        <v>196.71428571428572</v>
      </c>
    </row>
    <row r="22" spans="2:43" ht="18" customHeight="1" x14ac:dyDescent="0.2">
      <c r="D22" s="87" t="s">
        <v>154</v>
      </c>
      <c r="E22" s="250">
        <v>0.1</v>
      </c>
      <c r="G22" s="477" t="str">
        <f>IF(E27&gt;1,"Second Place","")</f>
        <v>Second Place</v>
      </c>
      <c r="H22" s="478"/>
      <c r="I22" s="483" t="str">
        <f>IF($E$27&gt;1,VLOOKUP(2,$AB$4:$AP$17,15,FALSE),"")</f>
        <v>Feng Shui</v>
      </c>
      <c r="J22" s="484"/>
      <c r="K22" s="488">
        <f t="shared" si="49"/>
        <v>362.4834970638185</v>
      </c>
      <c r="L22" s="489"/>
      <c r="M22" s="488">
        <f t="shared" si="50"/>
        <v>378.13249358740131</v>
      </c>
      <c r="N22" s="492"/>
      <c r="P22" s="99">
        <v>2</v>
      </c>
      <c r="Q22" s="100">
        <v>1</v>
      </c>
      <c r="U22" s="69" t="s">
        <v>333</v>
      </c>
      <c r="V22" s="69"/>
      <c r="W22" s="69" t="s">
        <v>360</v>
      </c>
      <c r="X22" s="53"/>
      <c r="Y22" s="53"/>
      <c r="Z22" s="235">
        <v>1.0209999999999999</v>
      </c>
      <c r="AA22" s="3"/>
      <c r="AB22" s="3"/>
      <c r="AC22" t="s">
        <v>375</v>
      </c>
      <c r="AK22" s="145" t="s">
        <v>155</v>
      </c>
      <c r="AL22" s="3"/>
      <c r="AM22" s="3"/>
      <c r="AN22" s="153">
        <f>AN21+E24</f>
        <v>746.71428571428578</v>
      </c>
    </row>
    <row r="23" spans="2:43" ht="18" customHeight="1" thickBot="1" x14ac:dyDescent="0.25">
      <c r="D23" s="87" t="s">
        <v>156</v>
      </c>
      <c r="E23" s="94" t="s">
        <v>157</v>
      </c>
      <c r="G23" s="477" t="str">
        <f>IF(E27&gt;2,"Third Place","")</f>
        <v>Third Place</v>
      </c>
      <c r="H23" s="478"/>
      <c r="I23" s="483" t="str">
        <f>IF($E$27&gt;2,VLOOKUP(3,$AB$4:$AP$17,15,FALSE),"")</f>
        <v>Outrageous</v>
      </c>
      <c r="J23" s="484"/>
      <c r="K23" s="488">
        <f t="shared" si="49"/>
        <v>353.9087962018566</v>
      </c>
      <c r="L23" s="489"/>
      <c r="M23" s="488">
        <f t="shared" si="50"/>
        <v>418.23094483949171</v>
      </c>
      <c r="N23" s="492"/>
      <c r="P23" s="113">
        <v>3</v>
      </c>
      <c r="Q23" s="102">
        <v>2</v>
      </c>
      <c r="U23" s="3" t="s">
        <v>360</v>
      </c>
      <c r="V23" s="69"/>
      <c r="W23" s="69" t="s">
        <v>353</v>
      </c>
      <c r="X23" s="53"/>
      <c r="Y23" s="53"/>
      <c r="Z23" s="235">
        <v>1.22</v>
      </c>
      <c r="AA23" s="3"/>
      <c r="AB23" s="3"/>
      <c r="AK23" s="146" t="s">
        <v>158</v>
      </c>
      <c r="AL23" s="28"/>
      <c r="AM23" s="28"/>
      <c r="AN23" s="151">
        <f>AN22/(AN21+E24)</f>
        <v>1</v>
      </c>
    </row>
    <row r="24" spans="2:43" ht="18" customHeight="1" x14ac:dyDescent="0.2">
      <c r="D24" s="87" t="s">
        <v>159</v>
      </c>
      <c r="E24" s="249">
        <f>VLOOKUP(E23,I36:K38,3,0)</f>
        <v>550</v>
      </c>
      <c r="G24" s="477" t="str">
        <f>IF(E27&gt;3,"Fourth Place","")</f>
        <v>Fourth Place</v>
      </c>
      <c r="H24" s="478"/>
      <c r="I24" s="483" t="str">
        <f>IF($E$27&gt;3,VLOOKUP(4,$AB$4:$AP$17,15,FALSE),"")</f>
        <v>Kristin B II</v>
      </c>
      <c r="J24" s="484"/>
      <c r="K24" s="488">
        <f t="shared" si="49"/>
        <v>463.76954487168041</v>
      </c>
      <c r="L24" s="489"/>
      <c r="M24" s="488">
        <f t="shared" si="50"/>
        <v>478.30782647377782</v>
      </c>
      <c r="N24" s="492"/>
      <c r="P24" s="113">
        <v>4</v>
      </c>
      <c r="Q24" s="102">
        <v>2</v>
      </c>
      <c r="U24" s="69" t="s">
        <v>353</v>
      </c>
      <c r="V24" s="69"/>
      <c r="W24" s="69" t="s">
        <v>354</v>
      </c>
      <c r="X24" s="53"/>
      <c r="Y24" s="53"/>
      <c r="Z24" s="235">
        <v>0.59599999999999997</v>
      </c>
      <c r="AA24" s="3"/>
      <c r="AB24" s="3"/>
    </row>
    <row r="25" spans="2:43" ht="18" customHeight="1" x14ac:dyDescent="0.2">
      <c r="D25" s="95"/>
      <c r="E25" s="96"/>
      <c r="G25" s="477" t="str">
        <f>IF(E27&gt;4,"Fifth Place","")</f>
        <v>Fifth Place</v>
      </c>
      <c r="H25" s="478"/>
      <c r="I25" s="483" t="str">
        <f>IF($E$27&gt;4,VLOOKUP(5,$AB$4:$AP$17,15,FALSE),"")</f>
        <v>Lone Gull</v>
      </c>
      <c r="J25" s="484"/>
      <c r="K25" s="488">
        <f t="shared" si="49"/>
        <v>391.39483897282207</v>
      </c>
      <c r="L25" s="489"/>
      <c r="M25" s="488">
        <f t="shared" si="50"/>
        <v>483.60064969834548</v>
      </c>
      <c r="N25" s="492"/>
      <c r="P25" s="113">
        <v>5</v>
      </c>
      <c r="Q25" s="102">
        <v>2</v>
      </c>
      <c r="U25" s="69" t="s">
        <v>354</v>
      </c>
      <c r="V25" s="69"/>
      <c r="W25" s="69" t="s">
        <v>194</v>
      </c>
      <c r="X25" s="53"/>
      <c r="Y25" s="53"/>
      <c r="Z25" s="235">
        <v>1.1419999999999999</v>
      </c>
      <c r="AA25" s="3"/>
      <c r="AB25" s="3"/>
    </row>
    <row r="26" spans="2:43" ht="18" customHeight="1" x14ac:dyDescent="0.2">
      <c r="D26" s="87" t="s">
        <v>160</v>
      </c>
      <c r="E26" s="23">
        <f>SUM(L4:L17)</f>
        <v>7</v>
      </c>
      <c r="G26" s="477" t="str">
        <f>IF($E$27&gt;5,"Sixth Place","")</f>
        <v>Sixth Place</v>
      </c>
      <c r="H26" s="478"/>
      <c r="I26" s="483" t="str">
        <f>IF($E$27&gt;5,VLOOKUP(6,$AB$4:$AP$17,15,FALSE),"")</f>
        <v>Grin</v>
      </c>
      <c r="J26" s="484"/>
      <c r="K26" s="488">
        <f t="shared" si="49"/>
        <v>459.79767127871673</v>
      </c>
      <c r="L26" s="489"/>
      <c r="M26" s="488">
        <f t="shared" si="50"/>
        <v>488.23158871385249</v>
      </c>
      <c r="N26" s="492"/>
      <c r="P26" s="113">
        <v>6</v>
      </c>
      <c r="Q26" s="102">
        <v>3</v>
      </c>
      <c r="U26" s="69" t="s">
        <v>194</v>
      </c>
      <c r="V26" s="69"/>
      <c r="W26" s="69" t="s">
        <v>361</v>
      </c>
      <c r="X26" s="53"/>
      <c r="Y26" s="53"/>
      <c r="Z26" s="235">
        <v>1.4630000000000001</v>
      </c>
      <c r="AA26" s="3"/>
      <c r="AB26" s="3"/>
    </row>
    <row r="27" spans="2:43" ht="18" customHeight="1" x14ac:dyDescent="0.2">
      <c r="D27" s="87" t="s">
        <v>161</v>
      </c>
      <c r="E27" s="23">
        <f>SUM(O4:O17)</f>
        <v>7</v>
      </c>
      <c r="G27" s="477" t="str">
        <f>IF($E$27&gt;6,"Seventh Place","")</f>
        <v>Seventh Place</v>
      </c>
      <c r="H27" s="478"/>
      <c r="I27" s="483" t="str">
        <f>IF($E$27&gt;6,VLOOKUP(7,$AB$4:$AP$17,15,FALSE),"")</f>
        <v>Magoo</v>
      </c>
      <c r="J27" s="484"/>
      <c r="K27" s="488">
        <f t="shared" si="49"/>
        <v>1662.9013418807026</v>
      </c>
      <c r="L27" s="489"/>
      <c r="M27" s="488">
        <f t="shared" si="50"/>
        <v>1704.076649698346</v>
      </c>
      <c r="N27" s="492"/>
      <c r="P27" s="113">
        <v>7</v>
      </c>
      <c r="Q27" s="102">
        <v>3</v>
      </c>
      <c r="U27" s="69"/>
      <c r="V27" s="69"/>
      <c r="W27" s="69"/>
      <c r="X27" s="53"/>
      <c r="Y27" s="53"/>
      <c r="Z27" s="235"/>
      <c r="AA27" s="3"/>
      <c r="AB27" s="3"/>
    </row>
    <row r="28" spans="2:43" ht="18" customHeight="1" x14ac:dyDescent="0.2">
      <c r="D28" s="87" t="s">
        <v>162</v>
      </c>
      <c r="E28" s="25">
        <f>VLOOKUP(E27,P22:Q32,2,FALSE)</f>
        <v>3</v>
      </c>
      <c r="G28" s="477" t="str">
        <f>IF(E27&gt;7,"Eighth Place","")</f>
        <v/>
      </c>
      <c r="H28" s="478"/>
      <c r="I28" s="483" t="str">
        <f>IF($E$27&gt;7,VLOOKUP(8,$AB$4:$AP$17,15,FALSE),"")</f>
        <v/>
      </c>
      <c r="J28" s="484"/>
      <c r="K28" s="488" t="str">
        <f t="shared" si="49"/>
        <v/>
      </c>
      <c r="L28" s="489"/>
      <c r="M28" s="488" t="str">
        <f t="shared" si="50"/>
        <v/>
      </c>
      <c r="N28" s="492"/>
      <c r="P28" s="113">
        <v>8</v>
      </c>
      <c r="Q28" s="102">
        <v>3</v>
      </c>
      <c r="U28" s="69"/>
      <c r="V28" s="69"/>
      <c r="W28" s="69"/>
      <c r="X28" s="53"/>
      <c r="Y28" s="53"/>
      <c r="Z28" s="235"/>
      <c r="AA28" s="3"/>
      <c r="AB28" s="3"/>
    </row>
    <row r="29" spans="2:43" ht="18" customHeight="1" x14ac:dyDescent="0.2">
      <c r="D29" s="87" t="s">
        <v>163</v>
      </c>
      <c r="E29" s="26">
        <f>VLOOKUP(E28,AA4:AD17,4,FALSE)</f>
        <v>856.34515410444965</v>
      </c>
      <c r="G29" s="477" t="str">
        <f>IF(E27&gt;8,"Ninth Place","")</f>
        <v/>
      </c>
      <c r="H29" s="478"/>
      <c r="I29" s="483" t="str">
        <f>IF($E$27&gt;8,VLOOKUP(9,$AB$4:$AP$17,15,FALSE),"")</f>
        <v/>
      </c>
      <c r="J29" s="484"/>
      <c r="K29" s="488" t="str">
        <f t="shared" si="49"/>
        <v/>
      </c>
      <c r="L29" s="489"/>
      <c r="M29" s="488" t="str">
        <f t="shared" si="50"/>
        <v/>
      </c>
      <c r="N29" s="492"/>
      <c r="P29" s="113">
        <v>9</v>
      </c>
      <c r="Q29" s="102">
        <v>4</v>
      </c>
      <c r="U29" s="69"/>
      <c r="V29" s="69"/>
      <c r="W29" s="69"/>
      <c r="X29" s="53"/>
      <c r="Y29" s="53"/>
      <c r="Z29" s="235"/>
      <c r="AA29" s="3"/>
      <c r="AB29" s="3"/>
    </row>
    <row r="30" spans="2:43" ht="18" customHeight="1" x14ac:dyDescent="0.2">
      <c r="D30" s="87" t="s">
        <v>153</v>
      </c>
      <c r="E30" s="181">
        <f>SUM(U4:U17)/E27</f>
        <v>204.51242701940481</v>
      </c>
      <c r="G30" s="477" t="str">
        <f>IF(E27&gt;9,"Tenth Place","")</f>
        <v/>
      </c>
      <c r="H30" s="478"/>
      <c r="I30" s="483" t="str">
        <f>IF($E$27&gt;9,VLOOKUP(10,$AB$4:$AP$17,15,FALSE),"")</f>
        <v/>
      </c>
      <c r="J30" s="484"/>
      <c r="K30" s="488" t="str">
        <f t="shared" si="49"/>
        <v/>
      </c>
      <c r="L30" s="489"/>
      <c r="M30" s="488" t="str">
        <f t="shared" si="50"/>
        <v/>
      </c>
      <c r="N30" s="492"/>
      <c r="P30" s="113">
        <v>10</v>
      </c>
      <c r="Q30" s="102">
        <v>4</v>
      </c>
      <c r="U30" s="3"/>
      <c r="V30" s="3"/>
      <c r="W30" s="69"/>
      <c r="X30" s="53"/>
      <c r="Y30" s="33" t="s">
        <v>164</v>
      </c>
      <c r="Z30" s="235">
        <f>SUM(Z22:Z26)</f>
        <v>5.4420000000000002</v>
      </c>
      <c r="AA30" s="427"/>
      <c r="AB30" s="435"/>
    </row>
    <row r="31" spans="2:43" ht="18" customHeight="1" x14ac:dyDescent="0.2">
      <c r="D31" s="87" t="s">
        <v>155</v>
      </c>
      <c r="E31" s="434">
        <f>E24+E30</f>
        <v>754.51242701940487</v>
      </c>
      <c r="G31" s="477" t="str">
        <f>IF(E27&gt;10,"Eleventh Place","")</f>
        <v/>
      </c>
      <c r="H31" s="478"/>
      <c r="I31" s="483" t="str">
        <f>IF($E$27&gt;10,VLOOKUP(11,$AB$4:$AP$17,15,FALSE),"")</f>
        <v/>
      </c>
      <c r="J31" s="484"/>
      <c r="K31" s="488" t="str">
        <f t="shared" si="49"/>
        <v/>
      </c>
      <c r="L31" s="489"/>
      <c r="M31" s="488" t="str">
        <f t="shared" si="50"/>
        <v/>
      </c>
      <c r="N31" s="492"/>
      <c r="P31" s="113">
        <v>11</v>
      </c>
      <c r="Q31" s="102">
        <v>4</v>
      </c>
      <c r="W31" s="30"/>
    </row>
    <row r="32" spans="2:43" ht="18" customHeight="1" thickBot="1" x14ac:dyDescent="0.25">
      <c r="D32" s="87" t="s">
        <v>158</v>
      </c>
      <c r="E32" s="418">
        <f>E31/(E24+E30)</f>
        <v>1</v>
      </c>
      <c r="G32" s="479" t="str">
        <f>IF(E27&gt;11,"Twelth Place","")</f>
        <v/>
      </c>
      <c r="H32" s="480"/>
      <c r="I32" s="494" t="str">
        <f>IF($E$27&gt;11,VLOOKUP(12,$AB$4:$AP$17,15,FALSE),"")</f>
        <v/>
      </c>
      <c r="J32" s="495"/>
      <c r="K32" s="508" t="str">
        <f t="shared" si="49"/>
        <v/>
      </c>
      <c r="L32" s="510"/>
      <c r="M32" s="508" t="str">
        <f t="shared" si="50"/>
        <v/>
      </c>
      <c r="N32" s="509"/>
      <c r="P32" s="114">
        <v>12</v>
      </c>
      <c r="Q32" s="105">
        <v>5</v>
      </c>
      <c r="W32" s="30"/>
    </row>
    <row r="33" spans="4:36" ht="18" customHeight="1" x14ac:dyDescent="0.2"/>
    <row r="34" spans="4:36" ht="18" customHeight="1" x14ac:dyDescent="0.2">
      <c r="D34" s="87" t="s">
        <v>352</v>
      </c>
      <c r="E34" s="416">
        <f>_xlfn.MINIFS(Q4:Q17,Q4:Q17,"&gt;0")*86400</f>
        <v>3677.0000000000023</v>
      </c>
      <c r="I34" s="505" t="s">
        <v>165</v>
      </c>
      <c r="J34" s="506"/>
      <c r="K34" s="507"/>
    </row>
    <row r="35" spans="4:36" x14ac:dyDescent="0.2">
      <c r="I35" s="97" t="s">
        <v>166</v>
      </c>
      <c r="J35" s="93" t="s">
        <v>167</v>
      </c>
      <c r="K35" s="98" t="s">
        <v>168</v>
      </c>
    </row>
    <row r="36" spans="4:36" x14ac:dyDescent="0.2">
      <c r="D36" s="33" t="s">
        <v>169</v>
      </c>
      <c r="E36" s="47" t="str">
        <f>IF(E21="Yes","Distance","Time")</f>
        <v>Distance</v>
      </c>
      <c r="I36" s="101" t="s">
        <v>170</v>
      </c>
      <c r="J36" s="53" t="s">
        <v>171</v>
      </c>
      <c r="K36" s="102">
        <v>600</v>
      </c>
      <c r="T36" s="4"/>
    </row>
    <row r="37" spans="4:36" x14ac:dyDescent="0.2">
      <c r="D37" s="2" t="s">
        <v>172</v>
      </c>
      <c r="I37" s="101" t="s">
        <v>157</v>
      </c>
      <c r="J37" s="125" t="s">
        <v>173</v>
      </c>
      <c r="K37" s="102">
        <v>550</v>
      </c>
    </row>
    <row r="38" spans="4:36" x14ac:dyDescent="0.2">
      <c r="D38" s="2"/>
      <c r="I38" s="103" t="s">
        <v>174</v>
      </c>
      <c r="J38" s="104" t="s">
        <v>175</v>
      </c>
      <c r="K38" s="105">
        <v>480</v>
      </c>
    </row>
    <row r="39" spans="4:36" x14ac:dyDescent="0.2">
      <c r="D39" s="2"/>
    </row>
    <row r="41" spans="4:36" x14ac:dyDescent="0.2">
      <c r="AJ41" s="1"/>
    </row>
    <row r="42" spans="4:36" x14ac:dyDescent="0.2">
      <c r="D42" s="2"/>
    </row>
    <row r="43" spans="4:36" x14ac:dyDescent="0.2">
      <c r="D43" s="2"/>
    </row>
    <row r="44" spans="4:36" x14ac:dyDescent="0.2">
      <c r="D44" s="2"/>
    </row>
  </sheetData>
  <sortState xmlns:xlrd2="http://schemas.microsoft.com/office/spreadsheetml/2017/richdata2" ref="B4:AH18">
    <sortCondition ref="B4:B18"/>
  </sortState>
  <mergeCells count="57">
    <mergeCell ref="U2:AJ2"/>
    <mergeCell ref="AK20:AN20"/>
    <mergeCell ref="AK2:AO2"/>
    <mergeCell ref="I25:J25"/>
    <mergeCell ref="I34:K34"/>
    <mergeCell ref="M32:N32"/>
    <mergeCell ref="M27:N27"/>
    <mergeCell ref="M28:N28"/>
    <mergeCell ref="M29:N29"/>
    <mergeCell ref="M30:N30"/>
    <mergeCell ref="M31:N31"/>
    <mergeCell ref="K32:L32"/>
    <mergeCell ref="I31:J31"/>
    <mergeCell ref="K27:L27"/>
    <mergeCell ref="K28:L28"/>
    <mergeCell ref="K29:L29"/>
    <mergeCell ref="K30:L30"/>
    <mergeCell ref="K31:L31"/>
    <mergeCell ref="I32:J32"/>
    <mergeCell ref="I26:J26"/>
    <mergeCell ref="I27:J27"/>
    <mergeCell ref="I28:J28"/>
    <mergeCell ref="I29:J29"/>
    <mergeCell ref="I30:J30"/>
    <mergeCell ref="P20:Q20"/>
    <mergeCell ref="K23:L23"/>
    <mergeCell ref="K24:L24"/>
    <mergeCell ref="K25:L25"/>
    <mergeCell ref="K26:L26"/>
    <mergeCell ref="M20:N20"/>
    <mergeCell ref="M21:N21"/>
    <mergeCell ref="M22:N22"/>
    <mergeCell ref="M23:N23"/>
    <mergeCell ref="M24:N24"/>
    <mergeCell ref="M25:N25"/>
    <mergeCell ref="M26:N26"/>
    <mergeCell ref="K20:L20"/>
    <mergeCell ref="K21:L21"/>
    <mergeCell ref="K22:L22"/>
    <mergeCell ref="G20:H20"/>
    <mergeCell ref="I22:J22"/>
    <mergeCell ref="I23:J23"/>
    <mergeCell ref="I24:J24"/>
    <mergeCell ref="G21:H21"/>
    <mergeCell ref="G22:H22"/>
    <mergeCell ref="G23:H23"/>
    <mergeCell ref="G24:H24"/>
    <mergeCell ref="I20:J20"/>
    <mergeCell ref="I21:J21"/>
    <mergeCell ref="G30:H30"/>
    <mergeCell ref="G31:H31"/>
    <mergeCell ref="G32:H32"/>
    <mergeCell ref="G25:H25"/>
    <mergeCell ref="G26:H26"/>
    <mergeCell ref="G27:H27"/>
    <mergeCell ref="G28:H28"/>
    <mergeCell ref="G29:H29"/>
  </mergeCells>
  <phoneticPr fontId="6" type="noConversion"/>
  <conditionalFormatting sqref="P4:P17">
    <cfRule type="cellIs" dxfId="21" priority="3" operator="equal">
      <formula>1</formula>
    </cfRule>
  </conditionalFormatting>
  <conditionalFormatting sqref="T4:U12 T13 T14:U17">
    <cfRule type="cellIs" dxfId="20" priority="1" operator="equal">
      <formula>"Yes"</formula>
    </cfRule>
  </conditionalFormatting>
  <dataValidations count="2">
    <dataValidation type="list" allowBlank="1" showInputMessage="1" showErrorMessage="1" sqref="E21 E25 K4:K17 T4:T17" xr:uid="{F29449BD-9BB0-4B48-B993-C5D9BECD7146}">
      <formula1>$AT$4:$AT$5</formula1>
    </dataValidation>
    <dataValidation type="list" allowBlank="1" showInputMessage="1" showErrorMessage="1" sqref="E23" xr:uid="{AA79BF04-4A83-459A-8330-A1417DB4FA33}">
      <formula1>$I$36:$I$38</formula1>
    </dataValidation>
  </dataValidations>
  <printOptions horizontalCentered="1"/>
  <pageMargins left="0.7" right="0.7" top="0.75" bottom="0.75" header="0.3" footer="0.3"/>
  <pageSetup paperSize="9" scale="53" fitToWidth="2" orientation="landscape" r:id="rId1"/>
  <ignoredErrors>
    <ignoredError sqref="I4:I5 I6:I14"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74691-A2AF-C349-8EEC-853F0665BBC0}">
  <sheetPr>
    <pageSetUpPr fitToPage="1"/>
  </sheetPr>
  <dimension ref="B1:AT44"/>
  <sheetViews>
    <sheetView topLeftCell="E1" zoomScale="90" zoomScaleNormal="90" workbookViewId="0">
      <selection activeCell="T25" sqref="T25"/>
    </sheetView>
  </sheetViews>
  <sheetFormatPr baseColWidth="10" defaultColWidth="8.83203125" defaultRowHeight="15" x14ac:dyDescent="0.2"/>
  <cols>
    <col min="1" max="1" width="2.83203125" customWidth="1"/>
    <col min="2" max="2" width="12.33203125" customWidth="1"/>
    <col min="3" max="3" width="16.5" customWidth="1"/>
    <col min="4" max="4" width="32" customWidth="1"/>
    <col min="5" max="14" width="10.83203125" customWidth="1"/>
    <col min="15" max="15" width="10.83203125" style="1" customWidth="1"/>
    <col min="16" max="22" width="10.83203125" customWidth="1"/>
    <col min="23" max="26" width="10.83203125" style="1" customWidth="1"/>
    <col min="27" max="41" width="10.83203125" customWidth="1"/>
    <col min="42" max="42" width="16.83203125" customWidth="1"/>
    <col min="43" max="43" width="3.6640625" customWidth="1"/>
    <col min="44" max="44" width="17.5" customWidth="1"/>
    <col min="46" max="46" width="0" hidden="1" customWidth="1"/>
  </cols>
  <sheetData>
    <row r="1" spans="2:46" ht="15" customHeight="1" thickBot="1" x14ac:dyDescent="0.25"/>
    <row r="2" spans="2:46" ht="15" customHeight="1" thickBot="1" x14ac:dyDescent="0.25">
      <c r="B2" s="28" t="s">
        <v>185</v>
      </c>
      <c r="C2" s="17"/>
      <c r="D2" s="17"/>
      <c r="E2" s="17"/>
      <c r="F2" s="17"/>
      <c r="G2" s="17"/>
      <c r="H2" s="17"/>
      <c r="I2" s="17"/>
      <c r="L2" s="17"/>
      <c r="M2" s="17"/>
      <c r="N2" s="17"/>
      <c r="O2" s="29"/>
      <c r="P2" s="17"/>
      <c r="Q2" s="17"/>
      <c r="R2" s="17"/>
      <c r="S2" s="124"/>
      <c r="T2" s="17"/>
      <c r="U2" s="518" t="s">
        <v>0</v>
      </c>
      <c r="V2" s="519"/>
      <c r="W2" s="519"/>
      <c r="X2" s="519"/>
      <c r="Y2" s="519"/>
      <c r="Z2" s="519"/>
      <c r="AA2" s="519"/>
      <c r="AB2" s="519"/>
      <c r="AC2" s="519"/>
      <c r="AD2" s="519"/>
      <c r="AE2" s="519"/>
      <c r="AF2" s="519"/>
      <c r="AG2" s="519"/>
      <c r="AH2" s="519"/>
      <c r="AI2" s="519"/>
      <c r="AJ2" s="520"/>
      <c r="AK2" s="522" t="s">
        <v>1</v>
      </c>
      <c r="AL2" s="503"/>
      <c r="AM2" s="503"/>
      <c r="AN2" s="503"/>
      <c r="AO2" s="504"/>
    </row>
    <row r="3" spans="2:46" s="22" customFormat="1" ht="80" x14ac:dyDescent="0.2">
      <c r="B3" s="315" t="s">
        <v>9</v>
      </c>
      <c r="C3" s="316" t="s">
        <v>10</v>
      </c>
      <c r="D3" s="316" t="s">
        <v>104</v>
      </c>
      <c r="E3" s="317" t="s">
        <v>105</v>
      </c>
      <c r="F3" s="317" t="s">
        <v>106</v>
      </c>
      <c r="G3" s="318" t="s">
        <v>107</v>
      </c>
      <c r="H3" s="319" t="s">
        <v>108</v>
      </c>
      <c r="I3" s="318" t="s">
        <v>109</v>
      </c>
      <c r="J3" s="319" t="s">
        <v>110</v>
      </c>
      <c r="K3" s="319" t="s">
        <v>111</v>
      </c>
      <c r="L3" s="319" t="s">
        <v>112</v>
      </c>
      <c r="M3" s="319" t="s">
        <v>113</v>
      </c>
      <c r="N3" s="319" t="s">
        <v>114</v>
      </c>
      <c r="O3" s="317" t="s">
        <v>115</v>
      </c>
      <c r="P3" s="320" t="s">
        <v>116</v>
      </c>
      <c r="Q3" s="319" t="s">
        <v>117</v>
      </c>
      <c r="R3" s="319" t="s">
        <v>118</v>
      </c>
      <c r="S3" s="319" t="s">
        <v>119</v>
      </c>
      <c r="T3" s="317" t="s">
        <v>120</v>
      </c>
      <c r="U3" s="317" t="s">
        <v>279</v>
      </c>
      <c r="V3" s="321" t="s">
        <v>121</v>
      </c>
      <c r="W3" s="322" t="s">
        <v>122</v>
      </c>
      <c r="X3" s="321" t="s">
        <v>123</v>
      </c>
      <c r="Y3" s="323" t="s">
        <v>124</v>
      </c>
      <c r="Z3" s="324" t="s">
        <v>125</v>
      </c>
      <c r="AA3" s="323" t="s">
        <v>126</v>
      </c>
      <c r="AB3" s="325" t="s">
        <v>127</v>
      </c>
      <c r="AC3" s="325" t="s">
        <v>128</v>
      </c>
      <c r="AD3" s="326" t="s">
        <v>129</v>
      </c>
      <c r="AE3" s="326" t="s">
        <v>130</v>
      </c>
      <c r="AF3" s="326" t="s">
        <v>131</v>
      </c>
      <c r="AG3" s="326" t="s">
        <v>132</v>
      </c>
      <c r="AH3" s="326" t="s">
        <v>133</v>
      </c>
      <c r="AI3" s="326" t="s">
        <v>134</v>
      </c>
      <c r="AJ3" s="325" t="s">
        <v>135</v>
      </c>
      <c r="AK3" s="323" t="s">
        <v>279</v>
      </c>
      <c r="AL3" s="323" t="s">
        <v>124</v>
      </c>
      <c r="AM3" s="323" t="s">
        <v>126</v>
      </c>
      <c r="AN3" s="323" t="s">
        <v>136</v>
      </c>
      <c r="AO3" s="323" t="s">
        <v>137</v>
      </c>
      <c r="AP3" s="327" t="str">
        <f>B3</f>
        <v>Yacht Name</v>
      </c>
      <c r="AQ3" s="79"/>
      <c r="AR3" s="79" t="s">
        <v>138</v>
      </c>
    </row>
    <row r="4" spans="2:46" ht="30" customHeight="1" x14ac:dyDescent="0.2">
      <c r="B4" s="347" t="str">
        <f>'2026 Applebee Finish Summary'!I5</f>
        <v>Estella</v>
      </c>
      <c r="C4" s="422" t="str">
        <f>'2026 Applebee Finish Summary'!J5</f>
        <v>Saffier 33</v>
      </c>
      <c r="D4" s="422" t="str">
        <f>'2026 Applebee Finish Summary'!K5</f>
        <v>Doug Kilgren</v>
      </c>
      <c r="E4" s="162">
        <f>'Handicaps-Roster'!G6</f>
        <v>90</v>
      </c>
      <c r="F4" s="162">
        <f>'Handicaps-Roster'!H6</f>
        <v>110</v>
      </c>
      <c r="G4" s="162">
        <f>'Race #1'!AH4</f>
        <v>90</v>
      </c>
      <c r="H4" s="61" t="e">
        <f t="shared" ref="H4:H15" si="0">$E$31/($E$24+G4)</f>
        <v>#DIV/0!</v>
      </c>
      <c r="I4" s="162">
        <f>'Race #1'!AI4</f>
        <v>110</v>
      </c>
      <c r="J4" s="61" t="e">
        <f t="shared" ref="J4:J15" si="1">$E$31/($E$24+I4)</f>
        <v>#DIV/0!</v>
      </c>
      <c r="K4" s="61" t="str">
        <f>IF(N4&gt;0,"Yes","No")</f>
        <v>No</v>
      </c>
      <c r="L4" s="328">
        <f t="shared" ref="L4:L14" si="2">IF(K4="Yes",1,0)</f>
        <v>0</v>
      </c>
      <c r="M4" s="329"/>
      <c r="N4" s="329"/>
      <c r="O4" s="59">
        <f>IF(N4&gt;0,1,0)</f>
        <v>0</v>
      </c>
      <c r="P4" s="330" t="str">
        <f t="shared" ref="P4:P17" si="3">IF($N4=0,"",RANK($N4,$N$4:$N$17,1)-COUNTIF($N$4:$N$17,0))</f>
        <v/>
      </c>
      <c r="Q4" s="163">
        <f>N4-M4</f>
        <v>0</v>
      </c>
      <c r="R4" s="164">
        <f>HOUR(Q4)*3600+MINUTE(Q4)*60+SECOND(Q4)</f>
        <v>0</v>
      </c>
      <c r="S4" s="164">
        <f t="shared" ref="S4:S15" si="4">IF(N4&gt;0,($I4*$E$20),0)</f>
        <v>0</v>
      </c>
      <c r="T4" s="331" t="s">
        <v>140</v>
      </c>
      <c r="U4" s="332" t="str">
        <f>IF(O4=1,IF(T4="No",I4,G4),"")</f>
        <v/>
      </c>
      <c r="V4" s="333">
        <f t="shared" ref="V4:V17" si="5">IF(T4="Yes",((I4-G4)*$E$20),0)</f>
        <v>0</v>
      </c>
      <c r="W4" s="333">
        <f t="shared" ref="W4:W7" si="6">IF(T4="Yes",(-(J4-H4)*R4),0)</f>
        <v>0</v>
      </c>
      <c r="X4" s="164">
        <f>R4-S4+V4</f>
        <v>0</v>
      </c>
      <c r="Y4" s="59" t="e">
        <f>IF(T4="Yes",R4*H4,R4*J4)</f>
        <v>#DIV/0!</v>
      </c>
      <c r="Z4" s="77" t="str">
        <f t="shared" ref="Z4:Z17" si="7">IF($X4=0,"",RANK($X4,$X$4:$X$17,1)-COUNTIF($X$4:$X$17,0))</f>
        <v/>
      </c>
      <c r="AA4" s="77" t="e">
        <f t="shared" ref="AA4:AA17" si="8">IF($Y4=0,"",RANK($Y4,$Y$4:$Y$17,1)-COUNTIF($Y$4:$Y$17,0))</f>
        <v>#DIV/0!</v>
      </c>
      <c r="AB4" s="169" t="str">
        <f t="shared" ref="AB4:AB15" si="9">IF($E$21="Yes",Z4,AA4)</f>
        <v/>
      </c>
      <c r="AC4" s="173">
        <f t="shared" ref="AC4:AC15" si="10">IF($E$21="Yes",IF(Z4=1,5,IF(Z4=2,4,IF(Z4=3,3,IF(Z4=4,2,IF(Z4=5,1,0))))),IF(AA4=1,5,IF(AA4=2,4,IF(AA4=3,3,IF(AA4=4,2,IF(AA4=5,1,0))))))+L4</f>
        <v>0</v>
      </c>
      <c r="AD4" s="59" t="e">
        <f t="shared" ref="AD4:AD15" si="11">Y4/$E$20</f>
        <v>#DIV/0!</v>
      </c>
      <c r="AE4" s="59" t="e">
        <f t="shared" ref="AE4:AE15" si="12">IF(AD4&gt;0,((Y4/$E$20)-$E$29),0)</f>
        <v>#DIV/0!</v>
      </c>
      <c r="AF4" s="59" t="e">
        <f>IF(AE4&gt;30,30,IF(AE4&lt;-30,-30,(AE4)))</f>
        <v>#DIV/0!</v>
      </c>
      <c r="AG4" s="60" t="e">
        <f t="shared" ref="AG4:AG15" si="13">AF4*$E$22</f>
        <v>#DIV/0!</v>
      </c>
      <c r="AH4" s="165">
        <f>MIN(MAX(IF(T4="Yes",G4+AG4,G4),'Handicaps-Roster'!L6),'Handicaps-Roster'!M6)</f>
        <v>90</v>
      </c>
      <c r="AI4" s="165" t="e">
        <f>MIN(MAX(IF(T4="No",I4+AG4,I4),'Handicaps-Roster'!N6),'Handicaps-Roster'!O6)</f>
        <v>#DIV/0!</v>
      </c>
      <c r="AJ4" s="174">
        <f>AC4+'Race #1'!$AJ4</f>
        <v>0</v>
      </c>
      <c r="AK4" s="176" t="str">
        <f>IF(O4=1,IF(T4="Yes",E4,F4),"")</f>
        <v/>
      </c>
      <c r="AL4" s="288" t="str">
        <f t="shared" ref="AL4:AL15" si="14">IFERROR((($AN$22/($E$24+AK4))*R4),"")</f>
        <v/>
      </c>
      <c r="AM4" s="156" t="e">
        <f t="shared" ref="AM4:AM17" si="15">IF($Y4=0,"",RANK($AL4,$AL$4:$AL$17,1)-COUNTIF($AL$4:$AL$17,0))</f>
        <v>#DIV/0!</v>
      </c>
      <c r="AN4" s="439">
        <v>0</v>
      </c>
      <c r="AO4" s="179">
        <f>'Race #1'!AO4+AN4</f>
        <v>0</v>
      </c>
      <c r="AP4" s="158" t="str">
        <f t="shared" ref="AP4:AP13" si="16">B4</f>
        <v>Estella</v>
      </c>
      <c r="AQ4" s="81"/>
      <c r="AT4" s="1" t="s">
        <v>139</v>
      </c>
    </row>
    <row r="5" spans="2:46" ht="30" customHeight="1" x14ac:dyDescent="0.2">
      <c r="B5" s="65" t="str">
        <f>'2026 Applebee Finish Summary'!I6</f>
        <v>Exit Strategy</v>
      </c>
      <c r="C5" s="423" t="str">
        <f>'2026 Applebee Finish Summary'!J6</f>
        <v>J Boats J-105</v>
      </c>
      <c r="D5" s="423" t="str">
        <f>'2026 Applebee Finish Summary'!K6</f>
        <v>John Stamos/John Woods</v>
      </c>
      <c r="E5" s="46">
        <f>'Handicaps-Roster'!G7</f>
        <v>87</v>
      </c>
      <c r="F5" s="46">
        <f>'Handicaps-Roster'!H7</f>
        <v>110</v>
      </c>
      <c r="G5" s="46">
        <f>'Race #1'!AH5</f>
        <v>78</v>
      </c>
      <c r="H5" s="58" t="e">
        <f t="shared" si="0"/>
        <v>#DIV/0!</v>
      </c>
      <c r="I5" s="46">
        <f>'Race #1'!AI5</f>
        <v>96.5</v>
      </c>
      <c r="J5" s="58" t="e">
        <f t="shared" si="1"/>
        <v>#DIV/0!</v>
      </c>
      <c r="K5" s="58" t="str">
        <f t="shared" ref="K5:K17" si="17">IF(N5&gt;0,"Yes","No")</f>
        <v>No</v>
      </c>
      <c r="L5" s="334">
        <f t="shared" si="2"/>
        <v>0</v>
      </c>
      <c r="M5" s="329"/>
      <c r="N5" s="329"/>
      <c r="O5" s="34">
        <f t="shared" ref="O5:O17" si="18">IF(N5&gt;0,1,0)</f>
        <v>0</v>
      </c>
      <c r="P5" s="330" t="str">
        <f t="shared" si="3"/>
        <v/>
      </c>
      <c r="Q5" s="160">
        <f>N5-M5</f>
        <v>0</v>
      </c>
      <c r="R5" s="161">
        <f>HOUR(Q5)*3600+MINUTE(Q5)*60+SECOND(Q5)</f>
        <v>0</v>
      </c>
      <c r="S5" s="161">
        <f t="shared" si="4"/>
        <v>0</v>
      </c>
      <c r="T5" s="331" t="s">
        <v>140</v>
      </c>
      <c r="U5" s="335" t="str">
        <f t="shared" ref="U5:U14" si="19">IF(O5=1,IF(T5="No",I5,G5),"")</f>
        <v/>
      </c>
      <c r="V5" s="336">
        <f t="shared" si="5"/>
        <v>0</v>
      </c>
      <c r="W5" s="336">
        <f t="shared" si="6"/>
        <v>0</v>
      </c>
      <c r="X5" s="161">
        <f t="shared" ref="X5:X14" si="20">R5-S5+V5</f>
        <v>0</v>
      </c>
      <c r="Y5" s="34" t="e">
        <f t="shared" ref="Y5:Y14" si="21">IF(T5="Yes",R5*H5,R5*J5)</f>
        <v>#DIV/0!</v>
      </c>
      <c r="Z5" s="62" t="str">
        <f t="shared" si="7"/>
        <v/>
      </c>
      <c r="AA5" s="62" t="e">
        <f t="shared" si="8"/>
        <v>#DIV/0!</v>
      </c>
      <c r="AB5" s="169" t="str">
        <f t="shared" si="9"/>
        <v/>
      </c>
      <c r="AC5" s="173">
        <f t="shared" si="10"/>
        <v>0</v>
      </c>
      <c r="AD5" s="34" t="e">
        <f t="shared" si="11"/>
        <v>#DIV/0!</v>
      </c>
      <c r="AE5" s="34" t="e">
        <f t="shared" si="12"/>
        <v>#DIV/0!</v>
      </c>
      <c r="AF5" s="34" t="e">
        <f>IF(AE5&gt;30,30,IF(AE5&lt;-30,-30,(AE5)))</f>
        <v>#DIV/0!</v>
      </c>
      <c r="AG5" s="78" t="e">
        <f t="shared" si="13"/>
        <v>#DIV/0!</v>
      </c>
      <c r="AH5" s="166">
        <f>MIN(MAX(IF(T5="Yes",G5+AG5,G5),'Handicaps-Roster'!L7),'Handicaps-Roster'!M7)</f>
        <v>78</v>
      </c>
      <c r="AI5" s="166" t="e">
        <f>MIN(MAX(IF(T5="No",I5+AG5,I5),'Handicaps-Roster'!N7),'Handicaps-Roster'!O7)</f>
        <v>#DIV/0!</v>
      </c>
      <c r="AJ5" s="174">
        <f>AC5+'Race #1'!AJ5</f>
        <v>0</v>
      </c>
      <c r="AK5" s="175" t="str">
        <f t="shared" ref="AK5:AK14" si="22">IF(O5=1,IF(T5="Yes",E5,F5),"")</f>
        <v/>
      </c>
      <c r="AL5" s="155" t="str">
        <f t="shared" si="14"/>
        <v/>
      </c>
      <c r="AM5" s="156" t="e">
        <f t="shared" si="15"/>
        <v>#DIV/0!</v>
      </c>
      <c r="AN5" s="439">
        <v>0</v>
      </c>
      <c r="AO5" s="179">
        <f>'Race #1'!AO5+AN5</f>
        <v>0</v>
      </c>
      <c r="AP5" s="120" t="str">
        <f t="shared" si="16"/>
        <v>Exit Strategy</v>
      </c>
      <c r="AQ5" s="81"/>
      <c r="AT5" s="1" t="s">
        <v>140</v>
      </c>
    </row>
    <row r="6" spans="2:46" ht="30" customHeight="1" x14ac:dyDescent="0.2">
      <c r="B6" s="65" t="str">
        <f>'2026 Applebee Finish Summary'!I7</f>
        <v>Magoo</v>
      </c>
      <c r="C6" s="423" t="str">
        <f>'2026 Applebee Finish Summary'!J7</f>
        <v>Catalina 28 MK II</v>
      </c>
      <c r="D6" s="423" t="str">
        <f>'2026 Applebee Finish Summary'!K7</f>
        <v>Steve Luebkeman</v>
      </c>
      <c r="E6" s="46">
        <f>'Handicaps-Roster'!G8</f>
        <v>205</v>
      </c>
      <c r="F6" s="46">
        <f>'Handicaps-Roster'!H8</f>
        <v>208</v>
      </c>
      <c r="G6" s="46">
        <f>'Race #1'!AH6</f>
        <v>195</v>
      </c>
      <c r="H6" s="58" t="e">
        <f t="shared" si="0"/>
        <v>#DIV/0!</v>
      </c>
      <c r="I6" s="46">
        <f>'Race #1'!AI6</f>
        <v>213</v>
      </c>
      <c r="J6" s="58" t="e">
        <f t="shared" si="1"/>
        <v>#DIV/0!</v>
      </c>
      <c r="K6" s="58" t="str">
        <f t="shared" si="17"/>
        <v>No</v>
      </c>
      <c r="L6" s="334">
        <f t="shared" si="2"/>
        <v>0</v>
      </c>
      <c r="M6" s="329"/>
      <c r="N6" s="329"/>
      <c r="O6" s="34">
        <f t="shared" si="18"/>
        <v>0</v>
      </c>
      <c r="P6" s="337" t="str">
        <f t="shared" si="3"/>
        <v/>
      </c>
      <c r="Q6" s="160">
        <f t="shared" ref="Q6:Q14" si="23">N6-M6</f>
        <v>0</v>
      </c>
      <c r="R6" s="161">
        <f t="shared" ref="R6:R14" si="24">HOUR(Q6)*3600+MINUTE(Q6)*60+SECOND(Q6)</f>
        <v>0</v>
      </c>
      <c r="S6" s="161">
        <f t="shared" si="4"/>
        <v>0</v>
      </c>
      <c r="T6" s="331" t="s">
        <v>140</v>
      </c>
      <c r="U6" s="335" t="str">
        <f t="shared" si="19"/>
        <v/>
      </c>
      <c r="V6" s="336">
        <f t="shared" si="5"/>
        <v>0</v>
      </c>
      <c r="W6" s="336">
        <f t="shared" si="6"/>
        <v>0</v>
      </c>
      <c r="X6" s="161">
        <f t="shared" si="20"/>
        <v>0</v>
      </c>
      <c r="Y6" s="34" t="e">
        <f t="shared" si="21"/>
        <v>#DIV/0!</v>
      </c>
      <c r="Z6" s="62" t="str">
        <f t="shared" si="7"/>
        <v/>
      </c>
      <c r="AA6" s="62" t="e">
        <f t="shared" si="8"/>
        <v>#DIV/0!</v>
      </c>
      <c r="AB6" s="169" t="str">
        <f t="shared" si="9"/>
        <v/>
      </c>
      <c r="AC6" s="173">
        <f t="shared" si="10"/>
        <v>0</v>
      </c>
      <c r="AD6" s="34" t="e">
        <f t="shared" si="11"/>
        <v>#DIV/0!</v>
      </c>
      <c r="AE6" s="34" t="e">
        <f t="shared" si="12"/>
        <v>#DIV/0!</v>
      </c>
      <c r="AF6" s="34" t="e">
        <f t="shared" ref="AF6:AF14" si="25">IF(AE6&gt;30,30,IF(AE6&lt;-30,-30,(AE6)))</f>
        <v>#DIV/0!</v>
      </c>
      <c r="AG6" s="78" t="e">
        <f t="shared" si="13"/>
        <v>#DIV/0!</v>
      </c>
      <c r="AH6" s="166">
        <f>MIN(MAX(IF(T6="Yes",G6+AG6,G6),'Handicaps-Roster'!L8),'Handicaps-Roster'!M8)</f>
        <v>195</v>
      </c>
      <c r="AI6" s="166" t="e">
        <f>MIN(MAX(IF(T6="No",I6+AG6,I6),'Handicaps-Roster'!N8),'Handicaps-Roster'!O8)</f>
        <v>#DIV/0!</v>
      </c>
      <c r="AJ6" s="174">
        <f>AC6+'Race #1'!AJ6</f>
        <v>1</v>
      </c>
      <c r="AK6" s="175" t="str">
        <f t="shared" si="22"/>
        <v/>
      </c>
      <c r="AL6" s="194" t="str">
        <f t="shared" si="14"/>
        <v/>
      </c>
      <c r="AM6" s="156" t="e">
        <f t="shared" si="15"/>
        <v>#DIV/0!</v>
      </c>
      <c r="AN6" s="439">
        <v>0</v>
      </c>
      <c r="AO6" s="179">
        <f>'Race #1'!AO6+AN6</f>
        <v>1</v>
      </c>
      <c r="AP6" s="120" t="str">
        <f t="shared" si="16"/>
        <v>Magoo</v>
      </c>
      <c r="AQ6" s="81"/>
    </row>
    <row r="7" spans="2:46" ht="30" customHeight="1" x14ac:dyDescent="0.2">
      <c r="B7" s="347" t="str">
        <f>'2026 Applebee Finish Summary'!I8</f>
        <v>Feng Shui</v>
      </c>
      <c r="C7" s="422" t="str">
        <f>'2026 Applebee Finish Summary'!J8</f>
        <v>C&amp;C 34</v>
      </c>
      <c r="D7" s="422" t="str">
        <f>'2026 Applebee Finish Summary'!K8</f>
        <v>Mike Finazzo</v>
      </c>
      <c r="E7" s="162">
        <f>'Handicaps-Roster'!G9</f>
        <v>157</v>
      </c>
      <c r="F7" s="162">
        <f>'Handicaps-Roster'!H9</f>
        <v>169</v>
      </c>
      <c r="G7" s="162">
        <f>'Race #1'!AH7</f>
        <v>175.1</v>
      </c>
      <c r="H7" s="61" t="e">
        <f t="shared" si="0"/>
        <v>#DIV/0!</v>
      </c>
      <c r="I7" s="162">
        <f>'Race #1'!AI7</f>
        <v>188.1227776756605</v>
      </c>
      <c r="J7" s="61" t="e">
        <f t="shared" si="1"/>
        <v>#DIV/0!</v>
      </c>
      <c r="K7" s="61" t="str">
        <f t="shared" si="17"/>
        <v>No</v>
      </c>
      <c r="L7" s="328">
        <f t="shared" si="2"/>
        <v>0</v>
      </c>
      <c r="M7" s="329"/>
      <c r="N7" s="329"/>
      <c r="O7" s="59">
        <f t="shared" si="18"/>
        <v>0</v>
      </c>
      <c r="P7" s="337" t="str">
        <f t="shared" si="3"/>
        <v/>
      </c>
      <c r="Q7" s="163">
        <f>N7-M7</f>
        <v>0</v>
      </c>
      <c r="R7" s="164">
        <f>HOUR(Q7)*3600+MINUTE(Q7)*60+SECOND(Q7)</f>
        <v>0</v>
      </c>
      <c r="S7" s="164">
        <f t="shared" si="4"/>
        <v>0</v>
      </c>
      <c r="T7" s="331" t="s">
        <v>140</v>
      </c>
      <c r="U7" s="332" t="str">
        <f t="shared" si="19"/>
        <v/>
      </c>
      <c r="V7" s="333">
        <f t="shared" si="5"/>
        <v>0</v>
      </c>
      <c r="W7" s="333">
        <f t="shared" si="6"/>
        <v>0</v>
      </c>
      <c r="X7" s="164">
        <f t="shared" si="20"/>
        <v>0</v>
      </c>
      <c r="Y7" s="59" t="e">
        <f t="shared" si="21"/>
        <v>#DIV/0!</v>
      </c>
      <c r="Z7" s="77" t="str">
        <f t="shared" si="7"/>
        <v/>
      </c>
      <c r="AA7" s="77" t="e">
        <f t="shared" si="8"/>
        <v>#DIV/0!</v>
      </c>
      <c r="AB7" s="169" t="str">
        <f t="shared" si="9"/>
        <v/>
      </c>
      <c r="AC7" s="173">
        <f t="shared" si="10"/>
        <v>0</v>
      </c>
      <c r="AD7" s="59" t="e">
        <f t="shared" si="11"/>
        <v>#DIV/0!</v>
      </c>
      <c r="AE7" s="59" t="e">
        <f t="shared" si="12"/>
        <v>#DIV/0!</v>
      </c>
      <c r="AF7" s="59" t="e">
        <f>IF(AE7&gt;30,30,IF(AE7&lt;-30,-30,(AE7)))</f>
        <v>#DIV/0!</v>
      </c>
      <c r="AG7" s="60" t="e">
        <f t="shared" si="13"/>
        <v>#DIV/0!</v>
      </c>
      <c r="AH7" s="165">
        <f>MIN(MAX(IF(T7="Yes",G7+AG7,G7),'Handicaps-Roster'!L9),'Handicaps-Roster'!M9)</f>
        <v>175.1</v>
      </c>
      <c r="AI7" s="165" t="e">
        <f>MIN(MAX(IF(T7="No",I7+AG7,I7),'Handicaps-Roster'!N9),'Handicaps-Roster'!O9)</f>
        <v>#DIV/0!</v>
      </c>
      <c r="AJ7" s="174">
        <f>AC7+'Race #1'!AJ7</f>
        <v>5</v>
      </c>
      <c r="AK7" s="176" t="str">
        <f t="shared" si="22"/>
        <v/>
      </c>
      <c r="AL7" s="195" t="str">
        <f t="shared" si="14"/>
        <v/>
      </c>
      <c r="AM7" s="156" t="e">
        <f t="shared" si="15"/>
        <v>#DIV/0!</v>
      </c>
      <c r="AN7" s="439">
        <v>0</v>
      </c>
      <c r="AO7" s="179">
        <f>'Race #1'!AO7+AN7</f>
        <v>3</v>
      </c>
      <c r="AP7" s="158" t="str">
        <f t="shared" si="16"/>
        <v>Feng Shui</v>
      </c>
      <c r="AQ7" s="81"/>
    </row>
    <row r="8" spans="2:46" ht="30" customHeight="1" x14ac:dyDescent="0.2">
      <c r="B8" s="65" t="str">
        <f>'2026 Applebee Finish Summary'!I9</f>
        <v>Grin</v>
      </c>
      <c r="C8" s="423" t="str">
        <f>'2026 Applebee Finish Summary'!J9</f>
        <v>Ericson 32-200</v>
      </c>
      <c r="D8" s="423" t="str">
        <f>'2026 Applebee Finish Summary'!K9</f>
        <v>John Woomer</v>
      </c>
      <c r="E8" s="46">
        <f>'Handicaps-Roster'!G10</f>
        <v>165</v>
      </c>
      <c r="F8" s="46">
        <f>'Handicaps-Roster'!H10</f>
        <v>177</v>
      </c>
      <c r="G8" s="46">
        <f>'Race #1'!AH8</f>
        <v>198</v>
      </c>
      <c r="H8" s="58" t="e">
        <f t="shared" si="0"/>
        <v>#DIV/0!</v>
      </c>
      <c r="I8" s="46">
        <f>'Race #1'!AI8</f>
        <v>207.16583579676276</v>
      </c>
      <c r="J8" s="58" t="e">
        <f t="shared" si="1"/>
        <v>#DIV/0!</v>
      </c>
      <c r="K8" s="58" t="str">
        <f t="shared" si="17"/>
        <v>No</v>
      </c>
      <c r="L8" s="334">
        <f t="shared" si="2"/>
        <v>0</v>
      </c>
      <c r="M8" s="329"/>
      <c r="N8" s="329"/>
      <c r="O8" s="34">
        <f t="shared" si="18"/>
        <v>0</v>
      </c>
      <c r="P8" s="337" t="str">
        <f t="shared" si="3"/>
        <v/>
      </c>
      <c r="Q8" s="160">
        <f t="shared" si="23"/>
        <v>0</v>
      </c>
      <c r="R8" s="161">
        <f t="shared" si="24"/>
        <v>0</v>
      </c>
      <c r="S8" s="161">
        <f t="shared" si="4"/>
        <v>0</v>
      </c>
      <c r="T8" s="331" t="s">
        <v>140</v>
      </c>
      <c r="U8" s="335" t="str">
        <f t="shared" si="19"/>
        <v/>
      </c>
      <c r="V8" s="333">
        <f t="shared" si="5"/>
        <v>0</v>
      </c>
      <c r="W8" s="336">
        <f>IF(T8="Yes",(-(J8-H8)*R8),0)</f>
        <v>0</v>
      </c>
      <c r="X8" s="161">
        <f>R8-S8+V8</f>
        <v>0</v>
      </c>
      <c r="Y8" s="34" t="e">
        <f>IF(T8="Yes",R8*H8,R8*J8)</f>
        <v>#DIV/0!</v>
      </c>
      <c r="Z8" s="62" t="str">
        <f t="shared" si="7"/>
        <v/>
      </c>
      <c r="AA8" s="62" t="e">
        <f t="shared" si="8"/>
        <v>#DIV/0!</v>
      </c>
      <c r="AB8" s="169" t="str">
        <f t="shared" si="9"/>
        <v/>
      </c>
      <c r="AC8" s="173">
        <f t="shared" si="10"/>
        <v>0</v>
      </c>
      <c r="AD8" s="34" t="e">
        <f t="shared" si="11"/>
        <v>#DIV/0!</v>
      </c>
      <c r="AE8" s="34" t="e">
        <f t="shared" si="12"/>
        <v>#DIV/0!</v>
      </c>
      <c r="AF8" s="34" t="e">
        <f t="shared" si="25"/>
        <v>#DIV/0!</v>
      </c>
      <c r="AG8" s="78" t="e">
        <f t="shared" si="13"/>
        <v>#DIV/0!</v>
      </c>
      <c r="AH8" s="166">
        <f>MIN(MAX(IF(T8="Yes",G8+AG8,G8),'Handicaps-Roster'!L10),'Handicaps-Roster'!M10)</f>
        <v>198</v>
      </c>
      <c r="AI8" s="166" t="e">
        <f>MIN(MAX(IF(T8="No",I8+AG8,I8),'Handicaps-Roster'!N10),'Handicaps-Roster'!O10)</f>
        <v>#DIV/0!</v>
      </c>
      <c r="AJ8" s="174">
        <f>AC8+'Race #1'!AJ8</f>
        <v>1</v>
      </c>
      <c r="AK8" s="175" t="str">
        <f t="shared" si="22"/>
        <v/>
      </c>
      <c r="AL8" s="194" t="str">
        <f t="shared" si="14"/>
        <v/>
      </c>
      <c r="AM8" s="156" t="e">
        <f t="shared" si="15"/>
        <v>#DIV/0!</v>
      </c>
      <c r="AN8" s="439">
        <v>0</v>
      </c>
      <c r="AO8" s="179">
        <f>'Race #1'!AO8+AN8</f>
        <v>1</v>
      </c>
      <c r="AP8" s="120" t="str">
        <f t="shared" si="16"/>
        <v>Grin</v>
      </c>
      <c r="AQ8" s="81"/>
    </row>
    <row r="9" spans="2:46" ht="30" customHeight="1" x14ac:dyDescent="0.2">
      <c r="B9" s="347" t="str">
        <f>'2026 Applebee Finish Summary'!I10</f>
        <v>Kristin B II</v>
      </c>
      <c r="C9" s="422" t="str">
        <f>'2026 Applebee Finish Summary'!J10</f>
        <v>Catalina 36 TM</v>
      </c>
      <c r="D9" s="422" t="str">
        <f>'2026 Applebee Finish Summary'!K10</f>
        <v>Mike Cann</v>
      </c>
      <c r="E9" s="162">
        <f>'Handicaps-Roster'!G11</f>
        <v>154</v>
      </c>
      <c r="F9" s="162">
        <f>'Handicaps-Roster'!H11</f>
        <v>163</v>
      </c>
      <c r="G9" s="162">
        <f>'Race #1'!AH9</f>
        <v>179.3</v>
      </c>
      <c r="H9" s="61" t="e">
        <f t="shared" si="0"/>
        <v>#DIV/0!</v>
      </c>
      <c r="I9" s="162">
        <f>'Race #1'!AI9</f>
        <v>191.23804263236943</v>
      </c>
      <c r="J9" s="61" t="e">
        <f t="shared" si="1"/>
        <v>#DIV/0!</v>
      </c>
      <c r="K9" s="61" t="str">
        <f t="shared" si="17"/>
        <v>No</v>
      </c>
      <c r="L9" s="328">
        <f t="shared" si="2"/>
        <v>0</v>
      </c>
      <c r="M9" s="329"/>
      <c r="N9" s="329"/>
      <c r="O9" s="59">
        <f t="shared" si="18"/>
        <v>0</v>
      </c>
      <c r="P9" s="337" t="str">
        <f t="shared" si="3"/>
        <v/>
      </c>
      <c r="Q9" s="163">
        <f t="shared" si="23"/>
        <v>0</v>
      </c>
      <c r="R9" s="164">
        <f t="shared" si="24"/>
        <v>0</v>
      </c>
      <c r="S9" s="164">
        <f t="shared" si="4"/>
        <v>0</v>
      </c>
      <c r="T9" s="331" t="s">
        <v>140</v>
      </c>
      <c r="U9" s="332" t="str">
        <f t="shared" si="19"/>
        <v/>
      </c>
      <c r="V9" s="333">
        <f t="shared" si="5"/>
        <v>0</v>
      </c>
      <c r="W9" s="333">
        <f t="shared" ref="W9:W17" si="26">IF(T9="Yes",(-(J9-H9)*R9),0)</f>
        <v>0</v>
      </c>
      <c r="X9" s="164">
        <f>R9-S9+V9</f>
        <v>0</v>
      </c>
      <c r="Y9" s="59" t="e">
        <f t="shared" si="21"/>
        <v>#DIV/0!</v>
      </c>
      <c r="Z9" s="77" t="str">
        <f t="shared" si="7"/>
        <v/>
      </c>
      <c r="AA9" s="77" t="e">
        <f t="shared" si="8"/>
        <v>#DIV/0!</v>
      </c>
      <c r="AB9" s="169" t="str">
        <f t="shared" si="9"/>
        <v/>
      </c>
      <c r="AC9" s="173">
        <f t="shared" si="10"/>
        <v>0</v>
      </c>
      <c r="AD9" s="59" t="e">
        <f t="shared" si="11"/>
        <v>#DIV/0!</v>
      </c>
      <c r="AE9" s="59" t="e">
        <f t="shared" si="12"/>
        <v>#DIV/0!</v>
      </c>
      <c r="AF9" s="59" t="e">
        <f t="shared" si="25"/>
        <v>#DIV/0!</v>
      </c>
      <c r="AG9" s="60" t="e">
        <f t="shared" si="13"/>
        <v>#DIV/0!</v>
      </c>
      <c r="AH9" s="165">
        <f>MIN(MAX(IF(T9="Yes",G9+AG9,G9),'Handicaps-Roster'!L11),'Handicaps-Roster'!M11)</f>
        <v>179.3</v>
      </c>
      <c r="AI9" s="165" t="e">
        <f>MIN(MAX(IF(T9="No",I9+AG9,I9),'Handicaps-Roster'!N11),'Handicaps-Roster'!O11)</f>
        <v>#DIV/0!</v>
      </c>
      <c r="AJ9" s="174">
        <f>AC9+'Race #1'!AJ9</f>
        <v>3</v>
      </c>
      <c r="AK9" s="176" t="str">
        <f t="shared" si="22"/>
        <v/>
      </c>
      <c r="AL9" s="195" t="str">
        <f t="shared" si="14"/>
        <v/>
      </c>
      <c r="AM9" s="156" t="e">
        <f t="shared" si="15"/>
        <v>#DIV/0!</v>
      </c>
      <c r="AN9" s="439">
        <v>0</v>
      </c>
      <c r="AO9" s="179">
        <f>'Race #1'!AO9+AN9</f>
        <v>2</v>
      </c>
      <c r="AP9" s="158" t="str">
        <f t="shared" si="16"/>
        <v>Kristin B II</v>
      </c>
      <c r="AQ9" s="81"/>
    </row>
    <row r="10" spans="2:46" ht="30" customHeight="1" x14ac:dyDescent="0.2">
      <c r="B10" s="65" t="str">
        <f>'2026 Applebee Finish Summary'!I11</f>
        <v>MacGuffin</v>
      </c>
      <c r="C10" s="423" t="str">
        <f>'2026 Applebee Finish Summary'!J11</f>
        <v>Shock Harbor 25</v>
      </c>
      <c r="D10" s="423" t="str">
        <f>'2026 Applebee Finish Summary'!K11</f>
        <v>Darryl Rosenbaum</v>
      </c>
      <c r="E10" s="46">
        <f>'Handicaps-Roster'!G12</f>
        <v>204</v>
      </c>
      <c r="F10" s="46">
        <f>'Handicaps-Roster'!H12</f>
        <v>204</v>
      </c>
      <c r="G10" s="46">
        <f>'Race #1'!AH10</f>
        <v>204</v>
      </c>
      <c r="H10" s="58" t="e">
        <f t="shared" si="0"/>
        <v>#DIV/0!</v>
      </c>
      <c r="I10" s="46">
        <f>'Race #1'!AI10</f>
        <v>204</v>
      </c>
      <c r="J10" s="58" t="e">
        <f t="shared" si="1"/>
        <v>#DIV/0!</v>
      </c>
      <c r="K10" s="58" t="str">
        <f t="shared" si="17"/>
        <v>No</v>
      </c>
      <c r="L10" s="334">
        <f t="shared" si="2"/>
        <v>0</v>
      </c>
      <c r="M10" s="329"/>
      <c r="N10" s="329"/>
      <c r="O10" s="34">
        <f t="shared" si="18"/>
        <v>0</v>
      </c>
      <c r="P10" s="337" t="str">
        <f t="shared" si="3"/>
        <v/>
      </c>
      <c r="Q10" s="160">
        <f t="shared" si="23"/>
        <v>0</v>
      </c>
      <c r="R10" s="161">
        <f t="shared" si="24"/>
        <v>0</v>
      </c>
      <c r="S10" s="161">
        <f t="shared" si="4"/>
        <v>0</v>
      </c>
      <c r="T10" s="331" t="s">
        <v>140</v>
      </c>
      <c r="U10" s="335" t="str">
        <f t="shared" si="19"/>
        <v/>
      </c>
      <c r="V10" s="336">
        <f t="shared" si="5"/>
        <v>0</v>
      </c>
      <c r="W10" s="336">
        <f t="shared" si="26"/>
        <v>0</v>
      </c>
      <c r="X10" s="161">
        <f t="shared" si="20"/>
        <v>0</v>
      </c>
      <c r="Y10" s="34" t="e">
        <f t="shared" si="21"/>
        <v>#DIV/0!</v>
      </c>
      <c r="Z10" s="62" t="str">
        <f t="shared" si="7"/>
        <v/>
      </c>
      <c r="AA10" s="62" t="e">
        <f t="shared" si="8"/>
        <v>#DIV/0!</v>
      </c>
      <c r="AB10" s="169" t="str">
        <f t="shared" si="9"/>
        <v/>
      </c>
      <c r="AC10" s="173">
        <f t="shared" si="10"/>
        <v>0</v>
      </c>
      <c r="AD10" s="34" t="e">
        <f t="shared" si="11"/>
        <v>#DIV/0!</v>
      </c>
      <c r="AE10" s="34" t="e">
        <f t="shared" si="12"/>
        <v>#DIV/0!</v>
      </c>
      <c r="AF10" s="34" t="e">
        <f t="shared" si="25"/>
        <v>#DIV/0!</v>
      </c>
      <c r="AG10" s="78" t="e">
        <f t="shared" si="13"/>
        <v>#DIV/0!</v>
      </c>
      <c r="AH10" s="166">
        <f>MIN(MAX(IF(T10="Yes",G10+AG10,G10),'Handicaps-Roster'!L12),'Handicaps-Roster'!M12)</f>
        <v>204</v>
      </c>
      <c r="AI10" s="166" t="e">
        <f>MIN(MAX(IF(T10="No",I10+AG10,I10),'Handicaps-Roster'!N12),'Handicaps-Roster'!O12)</f>
        <v>#DIV/0!</v>
      </c>
      <c r="AJ10" s="174">
        <f>AC10+'Race #1'!AJ10</f>
        <v>0</v>
      </c>
      <c r="AK10" s="175" t="str">
        <f t="shared" si="22"/>
        <v/>
      </c>
      <c r="AL10" s="194" t="str">
        <f t="shared" si="14"/>
        <v/>
      </c>
      <c r="AM10" s="156" t="e">
        <f t="shared" si="15"/>
        <v>#DIV/0!</v>
      </c>
      <c r="AN10" s="439">
        <v>0</v>
      </c>
      <c r="AO10" s="179">
        <f>'Race #1'!AO10+AN10</f>
        <v>0</v>
      </c>
      <c r="AP10" s="120" t="str">
        <f t="shared" si="16"/>
        <v>MacGuffin</v>
      </c>
      <c r="AQ10" s="81"/>
    </row>
    <row r="11" spans="2:46" ht="30" customHeight="1" x14ac:dyDescent="0.2">
      <c r="B11" s="347" t="str">
        <f>'2026 Applebee Finish Summary'!I12</f>
        <v>Mirabelle</v>
      </c>
      <c r="C11" s="422" t="str">
        <f>'2026 Applebee Finish Summary'!J12</f>
        <v>Cape Dory 32</v>
      </c>
      <c r="D11" s="422" t="str">
        <f>'2026 Applebee Finish Summary'!K12</f>
        <v>Campbell McLeod</v>
      </c>
      <c r="E11" s="162">
        <f>'Handicaps-Roster'!G13</f>
        <v>204</v>
      </c>
      <c r="F11" s="162">
        <f>'Handicaps-Roster'!H13</f>
        <v>216</v>
      </c>
      <c r="G11" s="162">
        <f>'Race #1'!AH11</f>
        <v>233.5</v>
      </c>
      <c r="H11" s="61" t="e">
        <f t="shared" si="0"/>
        <v>#DIV/0!</v>
      </c>
      <c r="I11" s="162">
        <f>'Race #1'!AI11</f>
        <v>244.63132491716539</v>
      </c>
      <c r="J11" s="61" t="e">
        <f t="shared" si="1"/>
        <v>#DIV/0!</v>
      </c>
      <c r="K11" s="61" t="str">
        <f t="shared" si="17"/>
        <v>No</v>
      </c>
      <c r="L11" s="328">
        <f t="shared" si="2"/>
        <v>0</v>
      </c>
      <c r="M11" s="329"/>
      <c r="N11" s="329"/>
      <c r="O11" s="59">
        <f t="shared" si="18"/>
        <v>0</v>
      </c>
      <c r="P11" s="337" t="str">
        <f t="shared" si="3"/>
        <v/>
      </c>
      <c r="Q11" s="163">
        <f t="shared" si="23"/>
        <v>0</v>
      </c>
      <c r="R11" s="164">
        <f t="shared" si="24"/>
        <v>0</v>
      </c>
      <c r="S11" s="164">
        <f t="shared" si="4"/>
        <v>0</v>
      </c>
      <c r="T11" s="331" t="s">
        <v>140</v>
      </c>
      <c r="U11" s="332" t="str">
        <f t="shared" si="19"/>
        <v/>
      </c>
      <c r="V11" s="333">
        <f t="shared" si="5"/>
        <v>0</v>
      </c>
      <c r="W11" s="333">
        <f t="shared" si="26"/>
        <v>0</v>
      </c>
      <c r="X11" s="164">
        <f t="shared" si="20"/>
        <v>0</v>
      </c>
      <c r="Y11" s="59" t="e">
        <f t="shared" si="21"/>
        <v>#DIV/0!</v>
      </c>
      <c r="Z11" s="77" t="str">
        <f t="shared" si="7"/>
        <v/>
      </c>
      <c r="AA11" s="77" t="e">
        <f t="shared" si="8"/>
        <v>#DIV/0!</v>
      </c>
      <c r="AB11" s="169" t="str">
        <f t="shared" si="9"/>
        <v/>
      </c>
      <c r="AC11" s="173">
        <f t="shared" si="10"/>
        <v>0</v>
      </c>
      <c r="AD11" s="59" t="e">
        <f t="shared" si="11"/>
        <v>#DIV/0!</v>
      </c>
      <c r="AE11" s="59" t="e">
        <f t="shared" si="12"/>
        <v>#DIV/0!</v>
      </c>
      <c r="AF11" s="59" t="e">
        <f t="shared" si="25"/>
        <v>#DIV/0!</v>
      </c>
      <c r="AG11" s="60" t="e">
        <f t="shared" si="13"/>
        <v>#DIV/0!</v>
      </c>
      <c r="AH11" s="165">
        <f>MIN(MAX(IF(T11="Yes",G11+AG11,G11),'Handicaps-Roster'!L13),'Handicaps-Roster'!M13)</f>
        <v>233.5</v>
      </c>
      <c r="AI11" s="165" t="e">
        <f>MIN(MAX(IF(T11="No",I11+AG11,I11),'Handicaps-Roster'!N13),'Handicaps-Roster'!O13)</f>
        <v>#DIV/0!</v>
      </c>
      <c r="AJ11" s="174">
        <f>AC11+'Race #1'!AJ11</f>
        <v>0</v>
      </c>
      <c r="AK11" s="176" t="str">
        <f t="shared" si="22"/>
        <v/>
      </c>
      <c r="AL11" s="195" t="str">
        <f t="shared" si="14"/>
        <v/>
      </c>
      <c r="AM11" s="156" t="e">
        <f t="shared" si="15"/>
        <v>#DIV/0!</v>
      </c>
      <c r="AN11" s="439">
        <v>0</v>
      </c>
      <c r="AO11" s="179">
        <f>'Race #1'!AO11+AN11</f>
        <v>0</v>
      </c>
      <c r="AP11" s="158" t="str">
        <f t="shared" si="16"/>
        <v>Mirabelle</v>
      </c>
      <c r="AQ11" s="81"/>
    </row>
    <row r="12" spans="2:46" ht="30" customHeight="1" x14ac:dyDescent="0.2">
      <c r="B12" s="65" t="str">
        <f>'2026 Applebee Finish Summary'!I13</f>
        <v>Outrageous</v>
      </c>
      <c r="C12" s="423" t="str">
        <f>'2026 Applebee Finish Summary'!J13</f>
        <v>Tanzer 22</v>
      </c>
      <c r="D12" s="423" t="str">
        <f>'2026 Applebee Finish Summary'!K13</f>
        <v>Don Webb</v>
      </c>
      <c r="E12" s="46">
        <f>'Handicaps-Roster'!G14</f>
        <v>254</v>
      </c>
      <c r="F12" s="46">
        <f>'Handicaps-Roster'!H14</f>
        <v>261</v>
      </c>
      <c r="G12" s="46">
        <f>'Race #1'!AH12</f>
        <v>252.6</v>
      </c>
      <c r="H12" s="58" t="e">
        <f t="shared" si="0"/>
        <v>#DIV/0!</v>
      </c>
      <c r="I12" s="46">
        <f>'Race #1'!AI12</f>
        <v>255.0180512261407</v>
      </c>
      <c r="J12" s="58" t="e">
        <f t="shared" si="1"/>
        <v>#DIV/0!</v>
      </c>
      <c r="K12" s="58" t="str">
        <f t="shared" si="17"/>
        <v>No</v>
      </c>
      <c r="L12" s="334">
        <f t="shared" si="2"/>
        <v>0</v>
      </c>
      <c r="M12" s="329"/>
      <c r="N12" s="329"/>
      <c r="O12" s="34">
        <f t="shared" si="18"/>
        <v>0</v>
      </c>
      <c r="P12" s="337" t="str">
        <f t="shared" si="3"/>
        <v/>
      </c>
      <c r="Q12" s="160">
        <f t="shared" si="23"/>
        <v>0</v>
      </c>
      <c r="R12" s="161">
        <f t="shared" si="24"/>
        <v>0</v>
      </c>
      <c r="S12" s="161">
        <f t="shared" si="4"/>
        <v>0</v>
      </c>
      <c r="T12" s="331" t="s">
        <v>140</v>
      </c>
      <c r="U12" s="335" t="str">
        <f t="shared" si="19"/>
        <v/>
      </c>
      <c r="V12" s="336">
        <f t="shared" si="5"/>
        <v>0</v>
      </c>
      <c r="W12" s="336">
        <f t="shared" si="26"/>
        <v>0</v>
      </c>
      <c r="X12" s="161">
        <f t="shared" si="20"/>
        <v>0</v>
      </c>
      <c r="Y12" s="34" t="e">
        <f t="shared" si="21"/>
        <v>#DIV/0!</v>
      </c>
      <c r="Z12" s="62" t="str">
        <f t="shared" si="7"/>
        <v/>
      </c>
      <c r="AA12" s="62" t="e">
        <f t="shared" si="8"/>
        <v>#DIV/0!</v>
      </c>
      <c r="AB12" s="169" t="str">
        <f t="shared" si="9"/>
        <v/>
      </c>
      <c r="AC12" s="173">
        <f t="shared" si="10"/>
        <v>0</v>
      </c>
      <c r="AD12" s="34" t="e">
        <f t="shared" si="11"/>
        <v>#DIV/0!</v>
      </c>
      <c r="AE12" s="34" t="e">
        <f t="shared" si="12"/>
        <v>#DIV/0!</v>
      </c>
      <c r="AF12" s="34" t="e">
        <f t="shared" si="25"/>
        <v>#DIV/0!</v>
      </c>
      <c r="AG12" s="78" t="e">
        <f t="shared" si="13"/>
        <v>#DIV/0!</v>
      </c>
      <c r="AH12" s="166">
        <f>MIN(MAX(IF(T12="Yes",G12+AG12,G12),'Handicaps-Roster'!L14),'Handicaps-Roster'!M14)</f>
        <v>252.6</v>
      </c>
      <c r="AI12" s="166" t="e">
        <f>MIN(MAX(IF(T12="No",I12+AG12,I12),'Handicaps-Roster'!N14),'Handicaps-Roster'!O14)</f>
        <v>#DIV/0!</v>
      </c>
      <c r="AJ12" s="174">
        <f>AC12+'Race #1'!AJ12</f>
        <v>4</v>
      </c>
      <c r="AK12" s="175" t="str">
        <f t="shared" si="22"/>
        <v/>
      </c>
      <c r="AL12" s="194" t="str">
        <f t="shared" si="14"/>
        <v/>
      </c>
      <c r="AM12" s="156" t="e">
        <f t="shared" si="15"/>
        <v>#DIV/0!</v>
      </c>
      <c r="AN12" s="439">
        <v>0</v>
      </c>
      <c r="AO12" s="179">
        <f>'Race #1'!AO12+AN12</f>
        <v>5</v>
      </c>
      <c r="AP12" s="120" t="str">
        <f t="shared" si="16"/>
        <v>Outrageous</v>
      </c>
      <c r="AQ12" s="81"/>
    </row>
    <row r="13" spans="2:46" ht="30" customHeight="1" x14ac:dyDescent="0.2">
      <c r="B13" s="347" t="str">
        <f>'2026 Applebee Finish Summary'!I14</f>
        <v>Paradox</v>
      </c>
      <c r="C13" s="422" t="str">
        <f>'2026 Applebee Finish Summary'!J14</f>
        <v>J 92</v>
      </c>
      <c r="D13" s="422" t="str">
        <f>'2026 Applebee Finish Summary'!K14</f>
        <v>Glenn VanOtteren/Ted Standiford</v>
      </c>
      <c r="E13" s="162">
        <f>'Handicaps-Roster'!G15</f>
        <v>111</v>
      </c>
      <c r="F13" s="162">
        <f>'Handicaps-Roster'!H15</f>
        <v>132</v>
      </c>
      <c r="G13" s="162">
        <f>'Race #1'!AH13</f>
        <v>94.35</v>
      </c>
      <c r="H13" s="61" t="e">
        <f t="shared" si="0"/>
        <v>#DIV/0!</v>
      </c>
      <c r="I13" s="162">
        <f>'Race #1'!AI13</f>
        <v>113.2874601593268</v>
      </c>
      <c r="J13" s="61" t="e">
        <f t="shared" si="1"/>
        <v>#DIV/0!</v>
      </c>
      <c r="K13" s="61" t="str">
        <f t="shared" si="17"/>
        <v>No</v>
      </c>
      <c r="L13" s="328">
        <f t="shared" si="2"/>
        <v>0</v>
      </c>
      <c r="M13" s="329"/>
      <c r="N13" s="329"/>
      <c r="O13" s="59">
        <f t="shared" si="18"/>
        <v>0</v>
      </c>
      <c r="P13" s="337" t="str">
        <f t="shared" si="3"/>
        <v/>
      </c>
      <c r="Q13" s="163">
        <f t="shared" si="23"/>
        <v>0</v>
      </c>
      <c r="R13" s="164">
        <f t="shared" si="24"/>
        <v>0</v>
      </c>
      <c r="S13" s="164">
        <f t="shared" si="4"/>
        <v>0</v>
      </c>
      <c r="T13" s="331" t="s">
        <v>140</v>
      </c>
      <c r="U13" s="165" t="str">
        <f t="shared" si="19"/>
        <v/>
      </c>
      <c r="V13" s="333">
        <f t="shared" si="5"/>
        <v>0</v>
      </c>
      <c r="W13" s="333">
        <f t="shared" si="26"/>
        <v>0</v>
      </c>
      <c r="X13" s="164">
        <f t="shared" si="20"/>
        <v>0</v>
      </c>
      <c r="Y13" s="59" t="e">
        <f t="shared" si="21"/>
        <v>#DIV/0!</v>
      </c>
      <c r="Z13" s="77" t="str">
        <f t="shared" si="7"/>
        <v/>
      </c>
      <c r="AA13" s="77" t="e">
        <f t="shared" si="8"/>
        <v>#DIV/0!</v>
      </c>
      <c r="AB13" s="169" t="str">
        <f t="shared" si="9"/>
        <v/>
      </c>
      <c r="AC13" s="173">
        <f t="shared" si="10"/>
        <v>0</v>
      </c>
      <c r="AD13" s="59" t="e">
        <f t="shared" si="11"/>
        <v>#DIV/0!</v>
      </c>
      <c r="AE13" s="59" t="e">
        <f t="shared" si="12"/>
        <v>#DIV/0!</v>
      </c>
      <c r="AF13" s="59" t="e">
        <f t="shared" si="25"/>
        <v>#DIV/0!</v>
      </c>
      <c r="AG13" s="60" t="e">
        <f t="shared" si="13"/>
        <v>#DIV/0!</v>
      </c>
      <c r="AH13" s="165">
        <f>MIN(MAX(IF(T13="Yes",G13+AG13,G13),'Handicaps-Roster'!L15),'Handicaps-Roster'!M15)</f>
        <v>94.35</v>
      </c>
      <c r="AI13" s="165" t="e">
        <f>MIN(MAX(IF(T13="No",I13+AG13,I13),'Handicaps-Roster'!N15),'Handicaps-Roster'!O15)</f>
        <v>#DIV/0!</v>
      </c>
      <c r="AJ13" s="174">
        <f>AC13+'Race #1'!AJ13</f>
        <v>6</v>
      </c>
      <c r="AK13" s="176" t="str">
        <f t="shared" si="22"/>
        <v/>
      </c>
      <c r="AL13" s="195" t="str">
        <f t="shared" si="14"/>
        <v/>
      </c>
      <c r="AM13" s="156" t="e">
        <f t="shared" si="15"/>
        <v>#DIV/0!</v>
      </c>
      <c r="AN13" s="439">
        <v>0</v>
      </c>
      <c r="AO13" s="179">
        <f>'Race #1'!AO13+AN13</f>
        <v>6</v>
      </c>
      <c r="AP13" s="158" t="str">
        <f t="shared" si="16"/>
        <v>Paradox</v>
      </c>
      <c r="AQ13" s="81"/>
      <c r="AR13" t="s">
        <v>292</v>
      </c>
    </row>
    <row r="14" spans="2:46" ht="30" customHeight="1" x14ac:dyDescent="0.2">
      <c r="B14" s="65" t="str">
        <f>'2026 Applebee Finish Summary'!I15</f>
        <v>Pegasus</v>
      </c>
      <c r="C14" s="423" t="str">
        <f>'2026 Applebee Finish Summary'!J15</f>
        <v>Catalina 320</v>
      </c>
      <c r="D14" s="423" t="str">
        <f>'2026 Applebee Finish Summary'!K15</f>
        <v>Bill Allen</v>
      </c>
      <c r="E14" s="46">
        <f>'Handicaps-Roster'!G16</f>
        <v>162</v>
      </c>
      <c r="F14" s="46">
        <f>'Handicaps-Roster'!H16</f>
        <v>171</v>
      </c>
      <c r="G14" s="46">
        <f>'Race #1'!AH14</f>
        <v>137.69999999999999</v>
      </c>
      <c r="H14" s="58" t="e">
        <f t="shared" si="0"/>
        <v>#DIV/0!</v>
      </c>
      <c r="I14" s="46">
        <f>'Race #1'!AI14</f>
        <v>146.67969019901307</v>
      </c>
      <c r="J14" s="58" t="e">
        <f t="shared" si="1"/>
        <v>#DIV/0!</v>
      </c>
      <c r="K14" s="58" t="str">
        <f t="shared" si="17"/>
        <v>No</v>
      </c>
      <c r="L14" s="334">
        <f t="shared" si="2"/>
        <v>0</v>
      </c>
      <c r="M14" s="329"/>
      <c r="N14" s="329"/>
      <c r="O14" s="34">
        <f t="shared" si="18"/>
        <v>0</v>
      </c>
      <c r="P14" s="337" t="str">
        <f t="shared" si="3"/>
        <v/>
      </c>
      <c r="Q14" s="160">
        <f t="shared" si="23"/>
        <v>0</v>
      </c>
      <c r="R14" s="161">
        <f t="shared" si="24"/>
        <v>0</v>
      </c>
      <c r="S14" s="161">
        <f t="shared" si="4"/>
        <v>0</v>
      </c>
      <c r="T14" s="331" t="s">
        <v>140</v>
      </c>
      <c r="U14" s="335" t="str">
        <f t="shared" si="19"/>
        <v/>
      </c>
      <c r="V14" s="336">
        <f t="shared" si="5"/>
        <v>0</v>
      </c>
      <c r="W14" s="336">
        <f t="shared" si="26"/>
        <v>0</v>
      </c>
      <c r="X14" s="161">
        <f t="shared" si="20"/>
        <v>0</v>
      </c>
      <c r="Y14" s="34" t="e">
        <f t="shared" si="21"/>
        <v>#DIV/0!</v>
      </c>
      <c r="Z14" s="62" t="str">
        <f t="shared" si="7"/>
        <v/>
      </c>
      <c r="AA14" s="62" t="e">
        <f t="shared" si="8"/>
        <v>#DIV/0!</v>
      </c>
      <c r="AB14" s="169" t="str">
        <f t="shared" si="9"/>
        <v/>
      </c>
      <c r="AC14" s="173">
        <f t="shared" si="10"/>
        <v>0</v>
      </c>
      <c r="AD14" s="34" t="e">
        <f t="shared" si="11"/>
        <v>#DIV/0!</v>
      </c>
      <c r="AE14" s="34" t="e">
        <f t="shared" si="12"/>
        <v>#DIV/0!</v>
      </c>
      <c r="AF14" s="34" t="e">
        <f t="shared" si="25"/>
        <v>#DIV/0!</v>
      </c>
      <c r="AG14" s="78" t="e">
        <f t="shared" si="13"/>
        <v>#DIV/0!</v>
      </c>
      <c r="AH14" s="166">
        <f>MIN(MAX(IF(T14="Yes",G14+AG14,G14),'Handicaps-Roster'!L16),'Handicaps-Roster'!M16)</f>
        <v>137.69999999999999</v>
      </c>
      <c r="AI14" s="166" t="e">
        <f>MIN(MAX(IF(T14="No",I14+AG14,I14),'Handicaps-Roster'!N16),'Handicaps-Roster'!O16)</f>
        <v>#DIV/0!</v>
      </c>
      <c r="AJ14" s="174">
        <f>AC14+'Race #1'!AJ14</f>
        <v>0</v>
      </c>
      <c r="AK14" s="175" t="str">
        <f t="shared" si="22"/>
        <v/>
      </c>
      <c r="AL14" s="194" t="str">
        <f t="shared" si="14"/>
        <v/>
      </c>
      <c r="AM14" s="156" t="e">
        <f t="shared" si="15"/>
        <v>#DIV/0!</v>
      </c>
      <c r="AN14" s="439">
        <v>0</v>
      </c>
      <c r="AO14" s="179">
        <f>'Race #1'!AO14+AN14</f>
        <v>0</v>
      </c>
      <c r="AP14" s="120" t="str">
        <f>B14</f>
        <v>Pegasus</v>
      </c>
      <c r="AQ14" s="81"/>
    </row>
    <row r="15" spans="2:46" ht="30" customHeight="1" x14ac:dyDescent="0.2">
      <c r="B15" s="46">
        <f>'2026 Applebee Finish Summary'!G16</f>
        <v>0</v>
      </c>
      <c r="C15" s="424" t="str">
        <f>'2026 Applebee Finish Summary'!J16</f>
        <v>Hans Christian 43</v>
      </c>
      <c r="D15" s="424" t="str">
        <f>'2026 Applebee Finish Summary'!K16</f>
        <v>Alex Parks</v>
      </c>
      <c r="E15" s="46">
        <f>'Handicaps-Roster'!G17</f>
        <v>162</v>
      </c>
      <c r="F15" s="46">
        <f>'Handicaps-Roster'!H17</f>
        <v>177</v>
      </c>
      <c r="G15" s="46">
        <f>'Race #1'!AH15</f>
        <v>194.4</v>
      </c>
      <c r="H15" s="58" t="e">
        <f t="shared" si="0"/>
        <v>#DIV/0!</v>
      </c>
      <c r="I15" s="46">
        <f>'Race #1'!AI15</f>
        <v>212.4</v>
      </c>
      <c r="J15" s="58" t="e">
        <f t="shared" si="1"/>
        <v>#DIV/0!</v>
      </c>
      <c r="K15" s="412" t="str">
        <f t="shared" si="17"/>
        <v>No</v>
      </c>
      <c r="L15" s="334">
        <f>IF(K15="Yes",1,0)</f>
        <v>0</v>
      </c>
      <c r="M15" s="329"/>
      <c r="N15" s="329"/>
      <c r="O15" s="34">
        <f t="shared" si="18"/>
        <v>0</v>
      </c>
      <c r="P15" s="337" t="str">
        <f t="shared" si="3"/>
        <v/>
      </c>
      <c r="Q15" s="160">
        <f>N15-M15</f>
        <v>0</v>
      </c>
      <c r="R15" s="161">
        <f>HOUR(Q15)*3600+MINUTE(Q15)*60+SECOND(Q15)</f>
        <v>0</v>
      </c>
      <c r="S15" s="161">
        <f t="shared" si="4"/>
        <v>0</v>
      </c>
      <c r="T15" s="331" t="s">
        <v>140</v>
      </c>
      <c r="U15" s="335" t="str">
        <f>IF(O15=1,IF(T15="No",I15,G15),"")</f>
        <v/>
      </c>
      <c r="V15" s="336">
        <f t="shared" si="5"/>
        <v>0</v>
      </c>
      <c r="W15" s="336">
        <f t="shared" si="26"/>
        <v>0</v>
      </c>
      <c r="X15" s="161">
        <f>R15-S15+V15</f>
        <v>0</v>
      </c>
      <c r="Y15" s="34" t="e">
        <f>IF(T15="Yes",R15*H15,R15*J15)</f>
        <v>#DIV/0!</v>
      </c>
      <c r="Z15" s="62" t="str">
        <f t="shared" si="7"/>
        <v/>
      </c>
      <c r="AA15" s="62" t="e">
        <f t="shared" si="8"/>
        <v>#DIV/0!</v>
      </c>
      <c r="AB15" s="169" t="str">
        <f t="shared" si="9"/>
        <v/>
      </c>
      <c r="AC15" s="173">
        <f t="shared" si="10"/>
        <v>0</v>
      </c>
      <c r="AD15" s="34" t="e">
        <f t="shared" si="11"/>
        <v>#DIV/0!</v>
      </c>
      <c r="AE15" s="34" t="e">
        <f t="shared" si="12"/>
        <v>#DIV/0!</v>
      </c>
      <c r="AF15" s="34" t="e">
        <f>IF(AE15&gt;30,30,IF(AE15&lt;-30,-30,(AE15)))</f>
        <v>#DIV/0!</v>
      </c>
      <c r="AG15" s="78" t="e">
        <f t="shared" si="13"/>
        <v>#DIV/0!</v>
      </c>
      <c r="AH15" s="166">
        <f>MIN(MAX(IF(T15="Yes",G15+AG15,G15),'Handicaps-Roster'!L17),'Handicaps-Roster'!M17)</f>
        <v>194.4</v>
      </c>
      <c r="AI15" s="166" t="e">
        <f>MIN(MAX(IF(T15="No",I15+AG15,I15),'Handicaps-Roster'!N17),'Handicaps-Roster'!O17)</f>
        <v>#DIV/0!</v>
      </c>
      <c r="AJ15" s="174">
        <f>AC15+'Race #1'!AJ15</f>
        <v>0</v>
      </c>
      <c r="AK15" s="175" t="str">
        <f>IF(O15=1,IF(T15="Yes",E15,F15),"")</f>
        <v/>
      </c>
      <c r="AL15" s="194" t="str">
        <f t="shared" si="14"/>
        <v/>
      </c>
      <c r="AM15" s="156" t="e">
        <f t="shared" si="15"/>
        <v>#DIV/0!</v>
      </c>
      <c r="AN15" s="439">
        <v>0</v>
      </c>
      <c r="AO15" s="179">
        <f>'Race #1'!AO15+AN15</f>
        <v>0</v>
      </c>
      <c r="AP15" s="120">
        <f>B15</f>
        <v>0</v>
      </c>
      <c r="AQ15" s="81"/>
    </row>
    <row r="16" spans="2:46" ht="30" customHeight="1" x14ac:dyDescent="0.2">
      <c r="B16" s="349">
        <f>'2026 Applebee Finish Summary'!G17</f>
        <v>2</v>
      </c>
      <c r="C16" s="425" t="str">
        <f>'2026 Applebee Finish Summary'!J17</f>
        <v>Cal 20</v>
      </c>
      <c r="D16" s="425" t="str">
        <f>'2026 Applebee Finish Summary'!K17</f>
        <v>Kevin Savage</v>
      </c>
      <c r="E16" s="162">
        <f>'Handicaps-Roster'!G18</f>
        <v>280</v>
      </c>
      <c r="F16" s="162">
        <f>'Handicaps-Roster'!H18</f>
        <v>288</v>
      </c>
      <c r="G16" s="162">
        <f>'Race #1'!AH16</f>
        <v>280</v>
      </c>
      <c r="H16" s="61" t="e">
        <f t="shared" ref="H16:H17" si="27">$E$31/($E$24+G16)</f>
        <v>#DIV/0!</v>
      </c>
      <c r="I16" s="162">
        <f>'Race #1'!AI16</f>
        <v>288.53126317363109</v>
      </c>
      <c r="J16" s="61" t="e">
        <f t="shared" ref="J16:J17" si="28">$E$31/($E$24+I16)</f>
        <v>#DIV/0!</v>
      </c>
      <c r="K16" s="414" t="str">
        <f t="shared" si="17"/>
        <v>No</v>
      </c>
      <c r="L16" s="328">
        <f t="shared" ref="L16:L17" si="29">IF(K16="Yes",1,0)</f>
        <v>0</v>
      </c>
      <c r="M16" s="329"/>
      <c r="N16" s="329"/>
      <c r="O16" s="59">
        <f t="shared" si="18"/>
        <v>0</v>
      </c>
      <c r="P16" s="337" t="str">
        <f t="shared" si="3"/>
        <v/>
      </c>
      <c r="Q16" s="163">
        <f t="shared" ref="Q16:Q17" si="30">N16-M16</f>
        <v>0</v>
      </c>
      <c r="R16" s="164">
        <f t="shared" ref="R16:R17" si="31">HOUR(Q16)*3600+MINUTE(Q16)*60+SECOND(Q16)</f>
        <v>0</v>
      </c>
      <c r="S16" s="164">
        <f t="shared" ref="S16:S17" si="32">IF(N16&gt;0,($I16*$E$20),0)</f>
        <v>0</v>
      </c>
      <c r="T16" s="331" t="s">
        <v>140</v>
      </c>
      <c r="U16" s="332" t="str">
        <f t="shared" ref="U16:U17" si="33">IF(O16=1,IF(T16="No",I16,G16),"")</f>
        <v/>
      </c>
      <c r="V16" s="333">
        <f t="shared" si="5"/>
        <v>0</v>
      </c>
      <c r="W16" s="333">
        <f t="shared" si="26"/>
        <v>0</v>
      </c>
      <c r="X16" s="164">
        <f t="shared" ref="X16:X17" si="34">R16-S16+V16</f>
        <v>0</v>
      </c>
      <c r="Y16" s="59" t="e">
        <f t="shared" ref="Y16:Y17" si="35">IF(T16="Yes",R16*H16,R16*J16)</f>
        <v>#DIV/0!</v>
      </c>
      <c r="Z16" s="77" t="str">
        <f t="shared" si="7"/>
        <v/>
      </c>
      <c r="AA16" s="77" t="e">
        <f t="shared" si="8"/>
        <v>#DIV/0!</v>
      </c>
      <c r="AB16" s="169" t="str">
        <f t="shared" ref="AB16:AB17" si="36">IF($E$21="Yes",Z16,AA16)</f>
        <v/>
      </c>
      <c r="AC16" s="173">
        <f t="shared" ref="AC16:AC17" si="37">IF($E$21="Yes",IF(Z16=1,5,IF(Z16=2,4,IF(Z16=3,3,IF(Z16=4,2,IF(Z16=5,1,0))))),IF(AA16=1,5,IF(AA16=2,4,IF(AA16=3,3,IF(AA16=4,2,IF(AA16=5,1,0))))))+L16</f>
        <v>0</v>
      </c>
      <c r="AD16" s="59" t="e">
        <f t="shared" ref="AD16:AD17" si="38">Y16/$E$20</f>
        <v>#DIV/0!</v>
      </c>
      <c r="AE16" s="59" t="e">
        <f t="shared" ref="AE16:AE17" si="39">IF(AD16&gt;0,((Y16/$E$20)-$E$29),0)</f>
        <v>#DIV/0!</v>
      </c>
      <c r="AF16" s="59" t="e">
        <f t="shared" ref="AF16:AF17" si="40">IF(AE16&gt;30,30,IF(AE16&lt;-30,-30,(AE16)))</f>
        <v>#DIV/0!</v>
      </c>
      <c r="AG16" s="60" t="e">
        <f t="shared" ref="AG16:AG17" si="41">AF16*$E$22</f>
        <v>#DIV/0!</v>
      </c>
      <c r="AH16" s="165">
        <f>MIN(MAX(IF(T16="Yes",G16+AG16,G16),'Handicaps-Roster'!L18),'Handicaps-Roster'!M18)</f>
        <v>280</v>
      </c>
      <c r="AI16" s="165" t="e">
        <f>MIN(MAX(IF(T16="No",I16+AG16,I16),'Handicaps-Roster'!N18),'Handicaps-Roster'!O18)</f>
        <v>#DIV/0!</v>
      </c>
      <c r="AJ16" s="174">
        <f>AC16+'Race #1'!AJ16</f>
        <v>2</v>
      </c>
      <c r="AK16" s="176" t="str">
        <f t="shared" ref="AK16:AK17" si="42">IF(O16=1,IF(T16="Yes",E16,F16),"")</f>
        <v/>
      </c>
      <c r="AL16" s="195" t="str">
        <f t="shared" ref="AL16:AL17" si="43">IFERROR((($AN$22/($E$24+AK16))*R16),"")</f>
        <v/>
      </c>
      <c r="AM16" s="156" t="e">
        <f t="shared" si="15"/>
        <v>#DIV/0!</v>
      </c>
      <c r="AN16" s="439">
        <v>0</v>
      </c>
      <c r="AO16" s="179">
        <f>'Race #1'!AO16+AN16</f>
        <v>4</v>
      </c>
      <c r="AP16" s="158">
        <f t="shared" ref="AP16:AP17" si="44">B16</f>
        <v>2</v>
      </c>
      <c r="AQ16" s="81"/>
    </row>
    <row r="17" spans="2:43" ht="30" customHeight="1" thickBot="1" x14ac:dyDescent="0.25">
      <c r="B17" s="396">
        <f>'2026 Applebee Finish Summary'!G18</f>
        <v>0</v>
      </c>
      <c r="C17" s="426">
        <f>'2026 Applebee Finish Summary'!J18</f>
        <v>0</v>
      </c>
      <c r="D17" s="426">
        <f>'2026 Applebee Finish Summary'!K18</f>
        <v>0</v>
      </c>
      <c r="E17" s="275">
        <f>'Handicaps-Roster'!G19</f>
        <v>0</v>
      </c>
      <c r="F17" s="275">
        <f>'Handicaps-Roster'!H19</f>
        <v>0</v>
      </c>
      <c r="G17" s="275">
        <f>'Race #1'!AH17</f>
        <v>0</v>
      </c>
      <c r="H17" s="276" t="e">
        <f t="shared" si="27"/>
        <v>#DIV/0!</v>
      </c>
      <c r="I17" s="275">
        <f>'Race #1'!AI17</f>
        <v>0</v>
      </c>
      <c r="J17" s="276" t="e">
        <f t="shared" si="28"/>
        <v>#DIV/0!</v>
      </c>
      <c r="K17" s="413" t="str">
        <f t="shared" si="17"/>
        <v>No</v>
      </c>
      <c r="L17" s="342">
        <f t="shared" si="29"/>
        <v>0</v>
      </c>
      <c r="M17" s="338"/>
      <c r="N17" s="338"/>
      <c r="O17" s="277">
        <f t="shared" si="18"/>
        <v>0</v>
      </c>
      <c r="P17" s="339" t="str">
        <f t="shared" si="3"/>
        <v/>
      </c>
      <c r="Q17" s="278">
        <f t="shared" si="30"/>
        <v>0</v>
      </c>
      <c r="R17" s="279">
        <f t="shared" si="31"/>
        <v>0</v>
      </c>
      <c r="S17" s="279">
        <f t="shared" si="32"/>
        <v>0</v>
      </c>
      <c r="T17" s="340" t="s">
        <v>140</v>
      </c>
      <c r="U17" s="395" t="str">
        <f t="shared" si="33"/>
        <v/>
      </c>
      <c r="V17" s="343">
        <f t="shared" si="5"/>
        <v>0</v>
      </c>
      <c r="W17" s="343">
        <f t="shared" si="26"/>
        <v>0</v>
      </c>
      <c r="X17" s="279">
        <f t="shared" si="34"/>
        <v>0</v>
      </c>
      <c r="Y17" s="277" t="e">
        <f t="shared" si="35"/>
        <v>#DIV/0!</v>
      </c>
      <c r="Z17" s="280" t="str">
        <f t="shared" si="7"/>
        <v/>
      </c>
      <c r="AA17" s="280" t="e">
        <f t="shared" si="8"/>
        <v>#DIV/0!</v>
      </c>
      <c r="AB17" s="171" t="str">
        <f t="shared" si="36"/>
        <v/>
      </c>
      <c r="AC17" s="177">
        <f t="shared" si="37"/>
        <v>0</v>
      </c>
      <c r="AD17" s="277" t="e">
        <f t="shared" si="38"/>
        <v>#DIV/0!</v>
      </c>
      <c r="AE17" s="277" t="e">
        <f t="shared" si="39"/>
        <v>#DIV/0!</v>
      </c>
      <c r="AF17" s="277" t="e">
        <f t="shared" si="40"/>
        <v>#DIV/0!</v>
      </c>
      <c r="AG17" s="281" t="e">
        <f t="shared" si="41"/>
        <v>#DIV/0!</v>
      </c>
      <c r="AH17" s="282">
        <f>MIN(MAX(IF(T17="Yes",G17+AG17,G17),'Handicaps-Roster'!L19),'Handicaps-Roster'!M19)</f>
        <v>0</v>
      </c>
      <c r="AI17" s="282" t="e">
        <f>MIN(MAX(IF(T17="No",I17+AG17,I17),'Handicaps-Roster'!N19),'Handicaps-Roster'!O19)</f>
        <v>#DIV/0!</v>
      </c>
      <c r="AJ17" s="178">
        <f>AC17+'Race #1'!AJ17</f>
        <v>0</v>
      </c>
      <c r="AK17" s="287" t="str">
        <f t="shared" si="42"/>
        <v/>
      </c>
      <c r="AL17" s="286" t="str">
        <f t="shared" si="43"/>
        <v/>
      </c>
      <c r="AM17" s="157" t="e">
        <f t="shared" si="15"/>
        <v>#DIV/0!</v>
      </c>
      <c r="AN17" s="440">
        <v>0</v>
      </c>
      <c r="AO17" s="180">
        <f>'Race #1'!AO17+AN17</f>
        <v>0</v>
      </c>
      <c r="AP17" s="284">
        <f t="shared" si="44"/>
        <v>0</v>
      </c>
      <c r="AQ17" s="81"/>
    </row>
    <row r="18" spans="2:43" ht="30" customHeight="1" x14ac:dyDescent="0.2">
      <c r="AO18" s="81"/>
    </row>
    <row r="19" spans="2:43" ht="16" thickBot="1" x14ac:dyDescent="0.25">
      <c r="B19" s="4"/>
      <c r="E19" s="5"/>
      <c r="F19" s="11"/>
      <c r="G19" s="5"/>
      <c r="H19" s="11"/>
      <c r="I19" s="11"/>
      <c r="J19" s="11"/>
      <c r="K19" s="11"/>
      <c r="L19" s="11"/>
      <c r="M19" s="11"/>
      <c r="N19" s="13"/>
      <c r="O19" s="13"/>
      <c r="P19" s="11"/>
      <c r="Q19" s="11"/>
      <c r="R19" s="11"/>
      <c r="S19" s="8"/>
      <c r="T19" s="89" t="s">
        <v>146</v>
      </c>
      <c r="U19" s="11"/>
      <c r="V19" s="11"/>
      <c r="W19" s="13"/>
      <c r="X19" s="13"/>
      <c r="Y19" s="18"/>
      <c r="Z19" s="18"/>
      <c r="AA19" s="13"/>
      <c r="AB19" s="13"/>
      <c r="AC19" s="89" t="s">
        <v>186</v>
      </c>
      <c r="AD19" s="13"/>
      <c r="AE19" s="15"/>
      <c r="AF19" s="16"/>
      <c r="AG19" s="11"/>
      <c r="AH19" s="11"/>
      <c r="AI19" s="5"/>
    </row>
    <row r="20" spans="2:43" ht="18" customHeight="1" x14ac:dyDescent="0.35">
      <c r="D20" s="87" t="s">
        <v>141</v>
      </c>
      <c r="E20" s="86">
        <f>Z30</f>
        <v>0</v>
      </c>
      <c r="G20" s="481" t="s">
        <v>142</v>
      </c>
      <c r="H20" s="482"/>
      <c r="I20" s="511" t="s">
        <v>102</v>
      </c>
      <c r="J20" s="482"/>
      <c r="K20" s="516" t="s">
        <v>143</v>
      </c>
      <c r="L20" s="493"/>
      <c r="M20" s="516" t="s">
        <v>144</v>
      </c>
      <c r="N20" s="491"/>
      <c r="P20" s="512" t="s">
        <v>145</v>
      </c>
      <c r="Q20" s="513"/>
      <c r="U20" s="89" t="s">
        <v>147</v>
      </c>
      <c r="W20" s="89" t="s">
        <v>148</v>
      </c>
      <c r="Z20" s="233" t="s">
        <v>149</v>
      </c>
      <c r="AK20" s="521" t="s">
        <v>150</v>
      </c>
      <c r="AL20" s="500"/>
      <c r="AM20" s="500"/>
      <c r="AN20" s="501"/>
    </row>
    <row r="21" spans="2:43" ht="18" customHeight="1" x14ac:dyDescent="0.2">
      <c r="D21" s="87" t="s">
        <v>151</v>
      </c>
      <c r="E21" s="24" t="s">
        <v>139</v>
      </c>
      <c r="G21" s="477" t="str">
        <f>IF($E$27&gt;0,"First Place","")</f>
        <v/>
      </c>
      <c r="H21" s="478"/>
      <c r="I21" s="483" t="str">
        <f>IF($E$27&gt;0,VLOOKUP(1,$AB$4:$AP$17,15,FALSE),"")</f>
        <v/>
      </c>
      <c r="J21" s="484"/>
      <c r="K21" s="514" t="str">
        <f t="shared" ref="K21:K32" si="45">IFERROR(VLOOKUP(I21,$B$4:$Y$17,24,0)-_xlfn.MINIFS($Y$4:$Y$17,$Y$4:$Y$17,"&gt;0"),"")</f>
        <v/>
      </c>
      <c r="L21" s="515"/>
      <c r="M21" s="514" t="str">
        <f t="shared" ref="M21:M32" si="46">IFERROR(VLOOKUP(I21,$B$4:$X$17,23,0)-_xlfn.MINIFS($X$4:$X$17,$X$4:$X$17,"&gt;0"),"")</f>
        <v/>
      </c>
      <c r="N21" s="517"/>
      <c r="P21" s="115" t="s">
        <v>93</v>
      </c>
      <c r="Q21" s="115" t="s">
        <v>152</v>
      </c>
      <c r="U21" s="30"/>
      <c r="V21" s="30"/>
      <c r="AC21" t="s">
        <v>376</v>
      </c>
      <c r="AK21" s="147" t="s">
        <v>153</v>
      </c>
      <c r="AL21" s="148"/>
      <c r="AM21" s="148"/>
      <c r="AN21" s="154" t="e">
        <f>SUM(AK4:AK17)/E27</f>
        <v>#DIV/0!</v>
      </c>
    </row>
    <row r="22" spans="2:43" ht="18" customHeight="1" x14ac:dyDescent="0.2">
      <c r="D22" s="87" t="s">
        <v>154</v>
      </c>
      <c r="E22" s="250">
        <v>0.1</v>
      </c>
      <c r="G22" s="477" t="str">
        <f>IF(E27&gt;1,"Second Place","")</f>
        <v/>
      </c>
      <c r="H22" s="478"/>
      <c r="I22" s="483" t="str">
        <f>IF($E$27&gt;1,VLOOKUP(2,$AB$4:$AP$17,15,FALSE),"")</f>
        <v/>
      </c>
      <c r="J22" s="484"/>
      <c r="K22" s="514" t="str">
        <f t="shared" si="45"/>
        <v/>
      </c>
      <c r="L22" s="515"/>
      <c r="M22" s="514" t="str">
        <f t="shared" si="46"/>
        <v/>
      </c>
      <c r="N22" s="517"/>
      <c r="P22" s="116">
        <v>2</v>
      </c>
      <c r="Q22" s="117">
        <v>1</v>
      </c>
      <c r="U22" s="430" t="s">
        <v>333</v>
      </c>
      <c r="V22" s="430"/>
      <c r="W22" s="430"/>
      <c r="X22" s="107"/>
      <c r="Y22" s="107"/>
      <c r="Z22" s="429"/>
      <c r="AA22" s="148"/>
      <c r="AB22" s="148"/>
      <c r="AC22" s="441" t="s">
        <v>386</v>
      </c>
      <c r="AD22" s="441"/>
      <c r="AE22" s="441"/>
      <c r="AF22" s="441"/>
      <c r="AK22" s="147" t="s">
        <v>155</v>
      </c>
      <c r="AL22" s="148"/>
      <c r="AM22" s="148"/>
      <c r="AN22" s="154" t="e">
        <f>AN21+E24</f>
        <v>#DIV/0!</v>
      </c>
    </row>
    <row r="23" spans="2:43" ht="18" customHeight="1" thickBot="1" x14ac:dyDescent="0.25">
      <c r="D23" s="87" t="s">
        <v>156</v>
      </c>
      <c r="E23" s="94" t="s">
        <v>157</v>
      </c>
      <c r="G23" s="477" t="str">
        <f>IF(E27&gt;2,"Third Place","")</f>
        <v/>
      </c>
      <c r="H23" s="478"/>
      <c r="I23" s="483" t="str">
        <f>IF($E$27&gt;2,VLOOKUP(3,$AB$4:$AP$17,15,FALSE),"")</f>
        <v/>
      </c>
      <c r="J23" s="484"/>
      <c r="K23" s="514" t="str">
        <f t="shared" si="45"/>
        <v/>
      </c>
      <c r="L23" s="515"/>
      <c r="M23" s="514" t="str">
        <f t="shared" si="46"/>
        <v/>
      </c>
      <c r="N23" s="517"/>
      <c r="P23" s="118">
        <v>3</v>
      </c>
      <c r="Q23" s="108">
        <v>2</v>
      </c>
      <c r="U23" s="430"/>
      <c r="V23" s="430"/>
      <c r="W23" s="430"/>
      <c r="X23" s="107"/>
      <c r="Y23" s="107"/>
      <c r="Z23" s="429"/>
      <c r="AA23" s="148"/>
      <c r="AB23" s="148"/>
      <c r="AK23" s="149" t="s">
        <v>158</v>
      </c>
      <c r="AL23" s="150"/>
      <c r="AM23" s="150"/>
      <c r="AN23" s="152" t="e">
        <f>AN22/(AN21+E24)</f>
        <v>#DIV/0!</v>
      </c>
    </row>
    <row r="24" spans="2:43" ht="18" customHeight="1" x14ac:dyDescent="0.2">
      <c r="D24" s="87" t="s">
        <v>159</v>
      </c>
      <c r="E24" s="249">
        <f>VLOOKUP(E23,I36:K38,3,0)</f>
        <v>550</v>
      </c>
      <c r="G24" s="477" t="str">
        <f>IF(E27&gt;3,"Fourth Place","")</f>
        <v/>
      </c>
      <c r="H24" s="478"/>
      <c r="I24" s="483" t="str">
        <f>IF($E$27&gt;3,VLOOKUP(4,$AB$4:$AP$17,15,FALSE),"")</f>
        <v/>
      </c>
      <c r="J24" s="484"/>
      <c r="K24" s="514" t="str">
        <f t="shared" si="45"/>
        <v/>
      </c>
      <c r="L24" s="515"/>
      <c r="M24" s="514" t="str">
        <f t="shared" si="46"/>
        <v/>
      </c>
      <c r="N24" s="517"/>
      <c r="P24" s="118">
        <v>4</v>
      </c>
      <c r="Q24" s="108">
        <v>2</v>
      </c>
      <c r="U24" s="430"/>
      <c r="V24" s="430"/>
      <c r="W24" s="430"/>
      <c r="X24" s="107"/>
      <c r="Y24" s="107"/>
      <c r="Z24" s="429"/>
      <c r="AA24" s="148"/>
      <c r="AB24" s="148"/>
    </row>
    <row r="25" spans="2:43" ht="18" customHeight="1" x14ac:dyDescent="0.2">
      <c r="D25" s="95"/>
      <c r="E25" s="96"/>
      <c r="G25" s="477" t="str">
        <f>IF(E27&gt;4,"Fifth Place","")</f>
        <v/>
      </c>
      <c r="H25" s="478"/>
      <c r="I25" s="483" t="str">
        <f>IF($E$27&gt;4,VLOOKUP(5,$AB$4:$AP$17,15,FALSE),"")</f>
        <v/>
      </c>
      <c r="J25" s="484"/>
      <c r="K25" s="514" t="str">
        <f t="shared" si="45"/>
        <v/>
      </c>
      <c r="L25" s="515"/>
      <c r="M25" s="514" t="str">
        <f t="shared" si="46"/>
        <v/>
      </c>
      <c r="N25" s="517"/>
      <c r="P25" s="118">
        <v>5</v>
      </c>
      <c r="Q25" s="108">
        <v>2</v>
      </c>
      <c r="U25" s="430"/>
      <c r="V25" s="430"/>
      <c r="W25" s="430"/>
      <c r="X25" s="107"/>
      <c r="Y25" s="107"/>
      <c r="Z25" s="429"/>
      <c r="AA25" s="148"/>
      <c r="AB25" s="148"/>
    </row>
    <row r="26" spans="2:43" ht="18" customHeight="1" x14ac:dyDescent="0.2">
      <c r="D26" s="87" t="s">
        <v>160</v>
      </c>
      <c r="E26" s="23">
        <f>SUM(L4:L17)</f>
        <v>0</v>
      </c>
      <c r="G26" s="477" t="str">
        <f>IF($E$27&gt;5,"Sixth Place","")</f>
        <v/>
      </c>
      <c r="H26" s="478"/>
      <c r="I26" s="483" t="str">
        <f>IF($E$27&gt;5,VLOOKUP(6,$AB$4:$AP$17,15,FALSE),"")</f>
        <v/>
      </c>
      <c r="J26" s="484"/>
      <c r="K26" s="514" t="str">
        <f t="shared" si="45"/>
        <v/>
      </c>
      <c r="L26" s="515"/>
      <c r="M26" s="514" t="str">
        <f t="shared" si="46"/>
        <v/>
      </c>
      <c r="N26" s="517"/>
      <c r="P26" s="118">
        <v>6</v>
      </c>
      <c r="Q26" s="108">
        <v>3</v>
      </c>
      <c r="U26" s="430"/>
      <c r="V26" s="430"/>
      <c r="W26" s="430"/>
      <c r="X26" s="107"/>
      <c r="Y26" s="107"/>
      <c r="Z26" s="429"/>
      <c r="AA26" s="148"/>
      <c r="AB26" s="148"/>
    </row>
    <row r="27" spans="2:43" ht="18" customHeight="1" x14ac:dyDescent="0.2">
      <c r="D27" s="87" t="s">
        <v>161</v>
      </c>
      <c r="E27" s="23">
        <f>SUM(O4:O17)</f>
        <v>0</v>
      </c>
      <c r="G27" s="477" t="str">
        <f>IF($E$27&gt;6,"Seventh Place","")</f>
        <v/>
      </c>
      <c r="H27" s="478"/>
      <c r="I27" s="483" t="str">
        <f>IF($E$27&gt;6,VLOOKUP(7,$AB$4:$AP$17,15,FALSE),"")</f>
        <v/>
      </c>
      <c r="J27" s="484"/>
      <c r="K27" s="514" t="str">
        <f t="shared" si="45"/>
        <v/>
      </c>
      <c r="L27" s="515"/>
      <c r="M27" s="514" t="str">
        <f t="shared" si="46"/>
        <v/>
      </c>
      <c r="N27" s="517"/>
      <c r="P27" s="118">
        <v>7</v>
      </c>
      <c r="Q27" s="108">
        <v>3</v>
      </c>
      <c r="U27" s="430"/>
      <c r="V27" s="430"/>
      <c r="W27" s="430"/>
      <c r="X27" s="107"/>
      <c r="Y27" s="107"/>
      <c r="Z27" s="429"/>
      <c r="AA27" s="148"/>
      <c r="AB27" s="148"/>
    </row>
    <row r="28" spans="2:43" ht="18" customHeight="1" x14ac:dyDescent="0.2">
      <c r="D28" s="87" t="s">
        <v>162</v>
      </c>
      <c r="E28" s="25" t="e">
        <f>VLOOKUP(E27,P22:Q32,2,FALSE)</f>
        <v>#N/A</v>
      </c>
      <c r="G28" s="477" t="str">
        <f>IF(E27&gt;7,"Eighth Place","")</f>
        <v/>
      </c>
      <c r="H28" s="478"/>
      <c r="I28" s="483" t="str">
        <f>IF($E$27&gt;7,VLOOKUP(8,$AB$4:$AP$17,15,FALSE),"")</f>
        <v/>
      </c>
      <c r="J28" s="484"/>
      <c r="K28" s="514" t="str">
        <f t="shared" si="45"/>
        <v/>
      </c>
      <c r="L28" s="515"/>
      <c r="M28" s="514" t="str">
        <f t="shared" si="46"/>
        <v/>
      </c>
      <c r="N28" s="517"/>
      <c r="P28" s="118">
        <v>8</v>
      </c>
      <c r="Q28" s="108">
        <v>3</v>
      </c>
      <c r="U28" s="430"/>
      <c r="V28" s="430"/>
      <c r="W28" s="430"/>
      <c r="X28" s="107"/>
      <c r="Y28" s="107"/>
      <c r="Z28" s="429"/>
      <c r="AA28" s="148"/>
      <c r="AB28" s="148"/>
    </row>
    <row r="29" spans="2:43" ht="18" customHeight="1" x14ac:dyDescent="0.2">
      <c r="D29" s="87" t="s">
        <v>163</v>
      </c>
      <c r="E29" s="26" t="e">
        <f>VLOOKUP(E28,AA4:AD17,4,FALSE)</f>
        <v>#N/A</v>
      </c>
      <c r="G29" s="477" t="str">
        <f>IF(E27&gt;8,"Ninth Place","")</f>
        <v/>
      </c>
      <c r="H29" s="478"/>
      <c r="I29" s="483" t="str">
        <f>IF($E$27&gt;8,VLOOKUP(9,$AB$4:$AP$17,15,FALSE),"")</f>
        <v/>
      </c>
      <c r="J29" s="484"/>
      <c r="K29" s="514" t="str">
        <f t="shared" si="45"/>
        <v/>
      </c>
      <c r="L29" s="515"/>
      <c r="M29" s="514" t="str">
        <f t="shared" si="46"/>
        <v/>
      </c>
      <c r="N29" s="517"/>
      <c r="P29" s="118">
        <v>9</v>
      </c>
      <c r="Q29" s="108">
        <v>4</v>
      </c>
      <c r="U29" s="430"/>
      <c r="V29" s="430"/>
      <c r="W29" s="430"/>
      <c r="X29" s="107"/>
      <c r="Y29" s="107"/>
      <c r="Z29" s="429"/>
      <c r="AA29" s="148"/>
      <c r="AB29" s="148"/>
    </row>
    <row r="30" spans="2:43" ht="18" customHeight="1" x14ac:dyDescent="0.2">
      <c r="D30" s="87" t="s">
        <v>153</v>
      </c>
      <c r="E30" s="181" t="e">
        <f>SUM(U4:U17)/E27</f>
        <v>#DIV/0!</v>
      </c>
      <c r="G30" s="477" t="str">
        <f>IF(E27&gt;9,"Tenth Place","")</f>
        <v/>
      </c>
      <c r="H30" s="478"/>
      <c r="I30" s="483" t="str">
        <f>IF($E$27&gt;9,VLOOKUP(10,$AB$4:$AP$17,15,FALSE),"")</f>
        <v/>
      </c>
      <c r="J30" s="484"/>
      <c r="K30" s="514" t="str">
        <f t="shared" si="45"/>
        <v/>
      </c>
      <c r="L30" s="515"/>
      <c r="M30" s="514" t="str">
        <f t="shared" si="46"/>
        <v/>
      </c>
      <c r="N30" s="517"/>
      <c r="P30" s="118">
        <v>10</v>
      </c>
      <c r="Q30" s="108">
        <v>4</v>
      </c>
      <c r="U30" s="148"/>
      <c r="V30" s="148"/>
      <c r="W30" s="430"/>
      <c r="X30" s="107"/>
      <c r="Y30" s="88" t="s">
        <v>164</v>
      </c>
      <c r="Z30" s="429">
        <f>SUM(Z22:Z26)</f>
        <v>0</v>
      </c>
      <c r="AA30" s="148"/>
      <c r="AB30" s="148"/>
    </row>
    <row r="31" spans="2:43" ht="18" customHeight="1" x14ac:dyDescent="0.2">
      <c r="D31" s="87" t="s">
        <v>155</v>
      </c>
      <c r="E31" s="434" t="e">
        <f>E24+E30</f>
        <v>#DIV/0!</v>
      </c>
      <c r="G31" s="477" t="str">
        <f>IF(E27&gt;10,"Eleventh Place","")</f>
        <v/>
      </c>
      <c r="H31" s="478"/>
      <c r="I31" s="483" t="str">
        <f>IF($E$27&gt;10,VLOOKUP(11,$AB$4:$AP$17,15,FALSE),"")</f>
        <v/>
      </c>
      <c r="J31" s="484"/>
      <c r="K31" s="514" t="str">
        <f t="shared" si="45"/>
        <v/>
      </c>
      <c r="L31" s="515"/>
      <c r="M31" s="514" t="str">
        <f t="shared" si="46"/>
        <v/>
      </c>
      <c r="N31" s="517"/>
      <c r="P31" s="118">
        <v>11</v>
      </c>
      <c r="Q31" s="108">
        <v>4</v>
      </c>
      <c r="W31" s="30"/>
    </row>
    <row r="32" spans="2:43" ht="18" customHeight="1" thickBot="1" x14ac:dyDescent="0.25">
      <c r="D32" s="87" t="s">
        <v>158</v>
      </c>
      <c r="E32" s="418" t="e">
        <f>E31/(E24+E30)</f>
        <v>#DIV/0!</v>
      </c>
      <c r="G32" s="479" t="str">
        <f>IF(E27&gt;11,"Twelth Place","")</f>
        <v/>
      </c>
      <c r="H32" s="480"/>
      <c r="I32" s="494" t="str">
        <f>IF($E$27&gt;11,VLOOKUP(12,$AB$4:$AP$17,15,FALSE),"")</f>
        <v/>
      </c>
      <c r="J32" s="495"/>
      <c r="K32" s="523" t="str">
        <f t="shared" si="45"/>
        <v/>
      </c>
      <c r="L32" s="525"/>
      <c r="M32" s="523" t="str">
        <f t="shared" si="46"/>
        <v/>
      </c>
      <c r="N32" s="524"/>
      <c r="P32" s="119">
        <v>12</v>
      </c>
      <c r="Q32" s="111">
        <v>5</v>
      </c>
      <c r="W32" s="30"/>
    </row>
    <row r="33" spans="4:36" ht="18" customHeight="1" x14ac:dyDescent="0.2"/>
    <row r="34" spans="4:36" ht="18" customHeight="1" x14ac:dyDescent="0.2">
      <c r="D34" s="87" t="s">
        <v>352</v>
      </c>
      <c r="E34" s="416">
        <f>_xlfn.MINIFS(Q4:Q17,Q4:Q17,"&gt;0")*86400</f>
        <v>0</v>
      </c>
      <c r="I34" s="505" t="s">
        <v>165</v>
      </c>
      <c r="J34" s="506"/>
      <c r="K34" s="507"/>
    </row>
    <row r="35" spans="4:36" x14ac:dyDescent="0.2">
      <c r="I35" s="97" t="s">
        <v>166</v>
      </c>
      <c r="J35" s="93" t="s">
        <v>167</v>
      </c>
      <c r="K35" s="98" t="s">
        <v>168</v>
      </c>
    </row>
    <row r="36" spans="4:36" x14ac:dyDescent="0.2">
      <c r="D36" s="88" t="s">
        <v>169</v>
      </c>
      <c r="E36" s="47" t="str">
        <f>IF(E21="Yes","Distance","Time")</f>
        <v>Distance</v>
      </c>
      <c r="I36" s="106" t="s">
        <v>170</v>
      </c>
      <c r="J36" s="107" t="s">
        <v>171</v>
      </c>
      <c r="K36" s="108">
        <v>600</v>
      </c>
      <c r="T36" s="4"/>
    </row>
    <row r="37" spans="4:36" x14ac:dyDescent="0.2">
      <c r="D37" s="2" t="s">
        <v>172</v>
      </c>
      <c r="I37" s="106" t="s">
        <v>157</v>
      </c>
      <c r="J37" s="126" t="s">
        <v>173</v>
      </c>
      <c r="K37" s="108">
        <v>550</v>
      </c>
    </row>
    <row r="38" spans="4:36" x14ac:dyDescent="0.2">
      <c r="D38" s="2"/>
      <c r="I38" s="109" t="s">
        <v>174</v>
      </c>
      <c r="J38" s="110" t="s">
        <v>175</v>
      </c>
      <c r="K38" s="111">
        <v>480</v>
      </c>
    </row>
    <row r="39" spans="4:36" x14ac:dyDescent="0.2">
      <c r="D39" s="2"/>
    </row>
    <row r="41" spans="4:36" x14ac:dyDescent="0.2">
      <c r="AJ41" s="1"/>
    </row>
    <row r="42" spans="4:36" x14ac:dyDescent="0.2">
      <c r="D42" s="2"/>
    </row>
    <row r="43" spans="4:36" x14ac:dyDescent="0.2">
      <c r="D43" s="2"/>
    </row>
    <row r="44" spans="4:36" x14ac:dyDescent="0.2">
      <c r="D44" s="2"/>
    </row>
  </sheetData>
  <mergeCells count="57">
    <mergeCell ref="U2:AJ2"/>
    <mergeCell ref="AK20:AN20"/>
    <mergeCell ref="AK2:AO2"/>
    <mergeCell ref="I25:J25"/>
    <mergeCell ref="I34:K34"/>
    <mergeCell ref="M32:N32"/>
    <mergeCell ref="M27:N27"/>
    <mergeCell ref="M28:N28"/>
    <mergeCell ref="M29:N29"/>
    <mergeCell ref="M30:N30"/>
    <mergeCell ref="M31:N31"/>
    <mergeCell ref="K32:L32"/>
    <mergeCell ref="I31:J31"/>
    <mergeCell ref="K27:L27"/>
    <mergeCell ref="K28:L28"/>
    <mergeCell ref="K29:L29"/>
    <mergeCell ref="K30:L30"/>
    <mergeCell ref="K31:L31"/>
    <mergeCell ref="I32:J32"/>
    <mergeCell ref="I26:J26"/>
    <mergeCell ref="I27:J27"/>
    <mergeCell ref="I28:J28"/>
    <mergeCell ref="I29:J29"/>
    <mergeCell ref="I30:J30"/>
    <mergeCell ref="P20:Q20"/>
    <mergeCell ref="K23:L23"/>
    <mergeCell ref="K24:L24"/>
    <mergeCell ref="K25:L25"/>
    <mergeCell ref="K26:L26"/>
    <mergeCell ref="M20:N20"/>
    <mergeCell ref="M21:N21"/>
    <mergeCell ref="M22:N22"/>
    <mergeCell ref="M23:N23"/>
    <mergeCell ref="M24:N24"/>
    <mergeCell ref="M25:N25"/>
    <mergeCell ref="M26:N26"/>
    <mergeCell ref="K20:L20"/>
    <mergeCell ref="K21:L21"/>
    <mergeCell ref="K22:L22"/>
    <mergeCell ref="G20:H20"/>
    <mergeCell ref="I22:J22"/>
    <mergeCell ref="I23:J23"/>
    <mergeCell ref="I24:J24"/>
    <mergeCell ref="G21:H21"/>
    <mergeCell ref="G22:H22"/>
    <mergeCell ref="G23:H23"/>
    <mergeCell ref="G24:H24"/>
    <mergeCell ref="I20:J20"/>
    <mergeCell ref="I21:J21"/>
    <mergeCell ref="G30:H30"/>
    <mergeCell ref="G31:H31"/>
    <mergeCell ref="G32:H32"/>
    <mergeCell ref="G25:H25"/>
    <mergeCell ref="G26:H26"/>
    <mergeCell ref="G27:H27"/>
    <mergeCell ref="G28:H28"/>
    <mergeCell ref="G29:H29"/>
  </mergeCells>
  <conditionalFormatting sqref="P4:P17">
    <cfRule type="cellIs" dxfId="19" priority="3" operator="equal">
      <formula>1</formula>
    </cfRule>
  </conditionalFormatting>
  <conditionalFormatting sqref="T4:U12 T13 T14:U17">
    <cfRule type="cellIs" dxfId="18" priority="1" operator="equal">
      <formula>"Yes"</formula>
    </cfRule>
  </conditionalFormatting>
  <dataValidations count="2">
    <dataValidation type="list" allowBlank="1" showInputMessage="1" showErrorMessage="1" sqref="E25 E21 K4:K17 T4:T17" xr:uid="{C525DD1D-BC11-C140-B83B-D862B680795A}">
      <formula1>$AT$4:$AT$5</formula1>
    </dataValidation>
    <dataValidation type="list" allowBlank="1" showInputMessage="1" showErrorMessage="1" sqref="E23" xr:uid="{8730B8A3-82A8-4C1D-A088-9A73F5E65CF6}">
      <formula1>$I$36:$I$38</formula1>
    </dataValidation>
  </dataValidations>
  <printOptions horizontalCentered="1"/>
  <pageMargins left="0.7" right="0.7" top="0.75" bottom="0.75" header="0.3" footer="0.3"/>
  <pageSetup paperSize="9" scale="58" fitToWidth="2" orientation="landscape" r:id="rId1"/>
  <ignoredErrors>
    <ignoredError sqref="I4:I5 I6:I14"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B235-416B-6146-89ED-4F58850F1A7D}">
  <sheetPr>
    <pageSetUpPr fitToPage="1"/>
  </sheetPr>
  <dimension ref="B1:AT47"/>
  <sheetViews>
    <sheetView topLeftCell="A3" zoomScale="90" zoomScaleNormal="90" workbookViewId="0">
      <selection activeCell="AD21" sqref="AD21"/>
    </sheetView>
  </sheetViews>
  <sheetFormatPr baseColWidth="10" defaultColWidth="8.83203125" defaultRowHeight="15" x14ac:dyDescent="0.2"/>
  <cols>
    <col min="1" max="1" width="2.83203125" customWidth="1"/>
    <col min="2" max="2" width="12.33203125" customWidth="1"/>
    <col min="3" max="3" width="16.5" customWidth="1"/>
    <col min="4" max="4" width="32" customWidth="1"/>
    <col min="5" max="14" width="10.83203125" customWidth="1"/>
    <col min="15" max="15" width="10.83203125" style="1" customWidth="1"/>
    <col min="16" max="22" width="10.83203125" customWidth="1"/>
    <col min="23" max="26" width="10.83203125" style="1" customWidth="1"/>
    <col min="27" max="41" width="10.83203125" customWidth="1"/>
    <col min="42" max="42" width="16.83203125" customWidth="1"/>
    <col min="43" max="43" width="3.6640625" customWidth="1"/>
    <col min="44" max="44" width="17.5" customWidth="1"/>
    <col min="46" max="46" width="0" hidden="1" customWidth="1"/>
  </cols>
  <sheetData>
    <row r="1" spans="2:46" ht="15" customHeight="1" thickBot="1" x14ac:dyDescent="0.25"/>
    <row r="2" spans="2:46" ht="15" customHeight="1" thickBot="1" x14ac:dyDescent="0.25">
      <c r="B2" s="28" t="s">
        <v>187</v>
      </c>
      <c r="C2" s="17"/>
      <c r="D2" s="17"/>
      <c r="E2" s="17"/>
      <c r="F2" s="17"/>
      <c r="G2" s="17"/>
      <c r="H2" s="17"/>
      <c r="I2" s="17"/>
      <c r="L2" s="17"/>
      <c r="M2" s="17"/>
      <c r="N2" s="17"/>
      <c r="O2" s="29"/>
      <c r="P2" s="17"/>
      <c r="Q2" s="17"/>
      <c r="R2" s="17"/>
      <c r="S2" s="124"/>
      <c r="T2" s="17"/>
      <c r="U2" s="518" t="s">
        <v>0</v>
      </c>
      <c r="V2" s="519"/>
      <c r="W2" s="519"/>
      <c r="X2" s="519"/>
      <c r="Y2" s="519"/>
      <c r="Z2" s="519"/>
      <c r="AA2" s="519"/>
      <c r="AB2" s="519"/>
      <c r="AC2" s="519"/>
      <c r="AD2" s="519"/>
      <c r="AE2" s="519"/>
      <c r="AF2" s="519"/>
      <c r="AG2" s="519"/>
      <c r="AH2" s="519"/>
      <c r="AI2" s="519"/>
      <c r="AJ2" s="520"/>
      <c r="AK2" s="522" t="s">
        <v>1</v>
      </c>
      <c r="AL2" s="503"/>
      <c r="AM2" s="503"/>
      <c r="AN2" s="503"/>
      <c r="AO2" s="504"/>
    </row>
    <row r="3" spans="2:46" s="22" customFormat="1" ht="80" x14ac:dyDescent="0.2">
      <c r="B3" s="315" t="s">
        <v>9</v>
      </c>
      <c r="C3" s="316" t="s">
        <v>10</v>
      </c>
      <c r="D3" s="316" t="s">
        <v>104</v>
      </c>
      <c r="E3" s="317" t="s">
        <v>105</v>
      </c>
      <c r="F3" s="317" t="s">
        <v>106</v>
      </c>
      <c r="G3" s="318" t="s">
        <v>107</v>
      </c>
      <c r="H3" s="319" t="s">
        <v>108</v>
      </c>
      <c r="I3" s="436" t="s">
        <v>109</v>
      </c>
      <c r="J3" s="319" t="s">
        <v>110</v>
      </c>
      <c r="K3" s="319" t="s">
        <v>111</v>
      </c>
      <c r="L3" s="319" t="s">
        <v>112</v>
      </c>
      <c r="M3" s="319" t="s">
        <v>113</v>
      </c>
      <c r="N3" s="319" t="s">
        <v>114</v>
      </c>
      <c r="O3" s="317" t="s">
        <v>115</v>
      </c>
      <c r="P3" s="320" t="s">
        <v>116</v>
      </c>
      <c r="Q3" s="319" t="s">
        <v>117</v>
      </c>
      <c r="R3" s="319" t="s">
        <v>118</v>
      </c>
      <c r="S3" s="319" t="s">
        <v>119</v>
      </c>
      <c r="T3" s="317" t="s">
        <v>120</v>
      </c>
      <c r="U3" s="317" t="s">
        <v>279</v>
      </c>
      <c r="V3" s="321" t="s">
        <v>121</v>
      </c>
      <c r="W3" s="322" t="s">
        <v>122</v>
      </c>
      <c r="X3" s="321" t="s">
        <v>123</v>
      </c>
      <c r="Y3" s="323" t="s">
        <v>124</v>
      </c>
      <c r="Z3" s="324" t="s">
        <v>125</v>
      </c>
      <c r="AA3" s="323" t="s">
        <v>126</v>
      </c>
      <c r="AB3" s="325" t="s">
        <v>127</v>
      </c>
      <c r="AC3" s="325" t="s">
        <v>128</v>
      </c>
      <c r="AD3" s="326" t="s">
        <v>129</v>
      </c>
      <c r="AE3" s="326" t="s">
        <v>130</v>
      </c>
      <c r="AF3" s="326" t="s">
        <v>131</v>
      </c>
      <c r="AG3" s="326" t="s">
        <v>132</v>
      </c>
      <c r="AH3" s="326" t="s">
        <v>133</v>
      </c>
      <c r="AI3" s="326" t="s">
        <v>134</v>
      </c>
      <c r="AJ3" s="325" t="s">
        <v>135</v>
      </c>
      <c r="AK3" s="323" t="s">
        <v>279</v>
      </c>
      <c r="AL3" s="323" t="s">
        <v>124</v>
      </c>
      <c r="AM3" s="323" t="s">
        <v>126</v>
      </c>
      <c r="AN3" s="323" t="s">
        <v>136</v>
      </c>
      <c r="AO3" s="323" t="s">
        <v>137</v>
      </c>
      <c r="AP3" s="327" t="str">
        <f>B3</f>
        <v>Yacht Name</v>
      </c>
      <c r="AQ3" s="79"/>
      <c r="AR3" s="79" t="s">
        <v>138</v>
      </c>
    </row>
    <row r="4" spans="2:46" ht="30" customHeight="1" x14ac:dyDescent="0.2">
      <c r="B4" s="347" t="str">
        <f>'2026 Applebee Finish Summary'!I5</f>
        <v>Estella</v>
      </c>
      <c r="C4" s="422" t="str">
        <f>'2026 Applebee Finish Summary'!J5</f>
        <v>Saffier 33</v>
      </c>
      <c r="D4" s="422" t="str">
        <f>'2026 Applebee Finish Summary'!K5</f>
        <v>Doug Kilgren</v>
      </c>
      <c r="E4" s="162">
        <f>'Handicaps-Roster'!G6</f>
        <v>90</v>
      </c>
      <c r="F4" s="162">
        <f>'Handicaps-Roster'!H6</f>
        <v>110</v>
      </c>
      <c r="G4" s="162">
        <f>'Race #2'!AH4</f>
        <v>90</v>
      </c>
      <c r="H4" s="61">
        <f t="shared" ref="H4:H15" si="0">$E$31/($E$24+G4)</f>
        <v>1.1760860064458436</v>
      </c>
      <c r="I4" s="437">
        <f>'Race #1'!AI4</f>
        <v>110</v>
      </c>
      <c r="J4" s="61">
        <f t="shared" ref="J4:J15" si="1">$E$31/($E$24+I4)</f>
        <v>1.142956823165679</v>
      </c>
      <c r="K4" s="61" t="str">
        <f>IF(N4&gt;0,"Yes","No")</f>
        <v>No</v>
      </c>
      <c r="L4" s="328">
        <f t="shared" ref="L4:L14" si="2">IF(K4="Yes",1,0)</f>
        <v>0</v>
      </c>
      <c r="M4" s="329"/>
      <c r="N4" s="329"/>
      <c r="O4" s="59">
        <f>IF(N4&gt;0,1,0)</f>
        <v>0</v>
      </c>
      <c r="P4" s="330" t="str">
        <f t="shared" ref="P4:P17" si="3">IF($N4=0,"",RANK($N4,$N$4:$N$17,1)-COUNTIF($N$4:$N$17,0))</f>
        <v/>
      </c>
      <c r="Q4" s="163">
        <f>N4-M4</f>
        <v>0</v>
      </c>
      <c r="R4" s="164">
        <f>HOUR(Q4)*3600+MINUTE(Q4)*60+SECOND(Q4)</f>
        <v>0</v>
      </c>
      <c r="S4" s="164">
        <f t="shared" ref="S4:S15" si="4">IF(N4&gt;0,($I4*$E$20),0)</f>
        <v>0</v>
      </c>
      <c r="T4" s="331" t="s">
        <v>140</v>
      </c>
      <c r="U4" s="332" t="str">
        <f>IF(O4=1,IF(T4="No",I4,G4),"")</f>
        <v/>
      </c>
      <c r="V4" s="333">
        <f t="shared" ref="V4:V17" si="5">IF(T4="Yes",((I4-G4)*$E$20),0)</f>
        <v>0</v>
      </c>
      <c r="W4" s="333">
        <f t="shared" ref="W4:W7" si="6">IF(T4="Yes",(-(J4-H4)*R4),0)</f>
        <v>0</v>
      </c>
      <c r="X4" s="164">
        <f>R4-S4+V4</f>
        <v>0</v>
      </c>
      <c r="Y4" s="59">
        <f>IF(T4="Yes",R4*H4,R4*J4)</f>
        <v>0</v>
      </c>
      <c r="Z4" s="77" t="str">
        <f t="shared" ref="Z4:Z17" si="7">IF($X4=0,"",RANK($X4,$X$4:$X$17,1)-COUNTIF($X$4:$X$17,0))</f>
        <v/>
      </c>
      <c r="AA4" s="77" t="str">
        <f t="shared" ref="AA4:AA17" si="8">IF($Y4=0,"",RANK($Y4,$Y$4:$Y$17,1)-COUNTIF($Y$4:$Y$17,0))</f>
        <v/>
      </c>
      <c r="AB4" s="169" t="str">
        <f t="shared" ref="AB4:AB15" si="9">IF($E$21="Yes",Z4,AA4)</f>
        <v/>
      </c>
      <c r="AC4" s="173">
        <f t="shared" ref="AC4:AC15" si="10">IF($E$21="Yes",IF(Z4=1,5,IF(Z4=2,4,IF(Z4=3,3,IF(Z4=4,2,IF(Z4=5,1,0))))),IF(AA4=1,5,IF(AA4=2,4,IF(AA4=3,3,IF(AA4=4,2,IF(AA4=5,1,0))))))+L4</f>
        <v>0</v>
      </c>
      <c r="AD4" s="59">
        <f t="shared" ref="AD4:AD15" si="11">Y4/$E$20</f>
        <v>0</v>
      </c>
      <c r="AE4" s="59">
        <f t="shared" ref="AE4:AE15" si="12">IF(AD4&gt;0,((Y4/$E$20)-$E$29),0)</f>
        <v>0</v>
      </c>
      <c r="AF4" s="59">
        <f>IF(AE4&gt;30,30,IF(AE4&lt;-30,-30,(AE4)))</f>
        <v>0</v>
      </c>
      <c r="AG4" s="60">
        <f t="shared" ref="AG4:AG15" si="13">AF4*$E$22</f>
        <v>0</v>
      </c>
      <c r="AH4" s="165">
        <f>MIN(MAX(IF(T4="Yes",G4+AG4,G4),'Handicaps-Roster'!L6),'Handicaps-Roster'!M6)</f>
        <v>90</v>
      </c>
      <c r="AI4" s="165">
        <f>MIN(MAX(IF(T4="No",I4+AG4,I4),'Handicaps-Roster'!N6),'Handicaps-Roster'!O6)</f>
        <v>110</v>
      </c>
      <c r="AJ4" s="174">
        <f>AC4+'Race #2'!$AJ4</f>
        <v>0</v>
      </c>
      <c r="AK4" s="176" t="str">
        <f>IF(O4=1,IF(T4="Yes",E4,F4),"")</f>
        <v/>
      </c>
      <c r="AL4" s="288" t="str">
        <f t="shared" ref="AL4:AL15" si="14">IFERROR((($AN$22/($E$24+AK4))*R4),"")</f>
        <v/>
      </c>
      <c r="AM4" s="156" t="str">
        <f t="shared" ref="AM4:AM17" si="15">IF($Y4=0,"",RANK($AL4,$AL$4:$AL$17,1)-COUNTIF($AL$4:$AL$17,0))</f>
        <v/>
      </c>
      <c r="AN4" s="156">
        <f>IF(AM4=1,5,IF(AM4=2,4,IF(AM4=3,3,IF(AM4=4,2,IF(AM4=5,1,0)))))+O4</f>
        <v>0</v>
      </c>
      <c r="AO4" s="156">
        <f>'Race #2'!AO4+AN4</f>
        <v>0</v>
      </c>
      <c r="AP4" s="159" t="str">
        <f t="shared" ref="AP4:AP13" si="16">B4</f>
        <v>Estella</v>
      </c>
      <c r="AQ4" s="80"/>
      <c r="AT4" s="1" t="s">
        <v>139</v>
      </c>
    </row>
    <row r="5" spans="2:46" ht="30" customHeight="1" x14ac:dyDescent="0.2">
      <c r="B5" s="65" t="str">
        <f>'2026 Applebee Finish Summary'!I6</f>
        <v>Exit Strategy</v>
      </c>
      <c r="C5" s="423" t="str">
        <f>'2026 Applebee Finish Summary'!J6</f>
        <v>J Boats J-105</v>
      </c>
      <c r="D5" s="423" t="str">
        <f>'2026 Applebee Finish Summary'!K6</f>
        <v>John Stamos/John Woods</v>
      </c>
      <c r="E5" s="46">
        <f>'Handicaps-Roster'!G7</f>
        <v>87</v>
      </c>
      <c r="F5" s="46">
        <f>'Handicaps-Roster'!H7</f>
        <v>110</v>
      </c>
      <c r="G5" s="46">
        <f>'Race #2'!AH5</f>
        <v>78</v>
      </c>
      <c r="H5" s="58">
        <f t="shared" si="0"/>
        <v>1.1969016879758585</v>
      </c>
      <c r="I5" s="437">
        <f>'Race #1'!AI5</f>
        <v>96.5</v>
      </c>
      <c r="J5" s="58">
        <f t="shared" si="1"/>
        <v>1.1651103294294789</v>
      </c>
      <c r="K5" s="58" t="str">
        <f t="shared" ref="K5:K17" si="17">IF(N5&gt;0,"Yes","No")</f>
        <v>No</v>
      </c>
      <c r="L5" s="334">
        <f t="shared" si="2"/>
        <v>0</v>
      </c>
      <c r="M5" s="329"/>
      <c r="N5" s="329"/>
      <c r="O5" s="34">
        <f t="shared" ref="O5:O17" si="18">IF(N5&gt;0,1,0)</f>
        <v>0</v>
      </c>
      <c r="P5" s="330" t="str">
        <f t="shared" si="3"/>
        <v/>
      </c>
      <c r="Q5" s="160">
        <f>N5-M5</f>
        <v>0</v>
      </c>
      <c r="R5" s="161">
        <f>HOUR(Q5)*3600+MINUTE(Q5)*60+SECOND(Q5)</f>
        <v>0</v>
      </c>
      <c r="S5" s="161">
        <f t="shared" si="4"/>
        <v>0</v>
      </c>
      <c r="T5" s="331" t="s">
        <v>140</v>
      </c>
      <c r="U5" s="335" t="str">
        <f t="shared" ref="U5:U14" si="19">IF(O5=1,IF(T5="No",I5,G5),"")</f>
        <v/>
      </c>
      <c r="V5" s="336">
        <f t="shared" si="5"/>
        <v>0</v>
      </c>
      <c r="W5" s="336">
        <f t="shared" si="6"/>
        <v>0</v>
      </c>
      <c r="X5" s="161">
        <f t="shared" ref="X5:X14" si="20">R5-S5+V5</f>
        <v>0</v>
      </c>
      <c r="Y5" s="34">
        <f t="shared" ref="Y5:Y14" si="21">IF(T5="Yes",R5*H5,R5*J5)</f>
        <v>0</v>
      </c>
      <c r="Z5" s="62" t="str">
        <f t="shared" si="7"/>
        <v/>
      </c>
      <c r="AA5" s="62" t="str">
        <f t="shared" si="8"/>
        <v/>
      </c>
      <c r="AB5" s="169" t="str">
        <f t="shared" si="9"/>
        <v/>
      </c>
      <c r="AC5" s="173">
        <f t="shared" si="10"/>
        <v>0</v>
      </c>
      <c r="AD5" s="34">
        <f t="shared" si="11"/>
        <v>0</v>
      </c>
      <c r="AE5" s="34">
        <f t="shared" si="12"/>
        <v>0</v>
      </c>
      <c r="AF5" s="34">
        <f>IF(AE5&gt;30,30,IF(AE5&lt;-30,-30,(AE5)))</f>
        <v>0</v>
      </c>
      <c r="AG5" s="78">
        <f t="shared" si="13"/>
        <v>0</v>
      </c>
      <c r="AH5" s="166">
        <f>MIN(MAX(IF(T5="Yes",G5+AG5,G5),'Handicaps-Roster'!L7),'Handicaps-Roster'!M7)</f>
        <v>78</v>
      </c>
      <c r="AI5" s="166">
        <f>MIN(MAX(IF(T5="No",I5+AG5,I5),'Handicaps-Roster'!N7),'Handicaps-Roster'!O7)</f>
        <v>96.5</v>
      </c>
      <c r="AJ5" s="174">
        <f>AC5+'Race #2'!$AJ5</f>
        <v>0</v>
      </c>
      <c r="AK5" s="175" t="str">
        <f t="shared" ref="AK5:AK14" si="22">IF(O5=1,IF(T5="Yes",E5,F5),"")</f>
        <v/>
      </c>
      <c r="AL5" s="155" t="str">
        <f t="shared" si="14"/>
        <v/>
      </c>
      <c r="AM5" s="156" t="str">
        <f t="shared" si="15"/>
        <v/>
      </c>
      <c r="AN5" s="156">
        <f t="shared" ref="AN5:AN14" si="23">IF(AM5=1,5,IF(AM5=2,4,IF(AM5=3,3,IF(AM5=4,2,IF(AM5=5,1,0)))))+O5</f>
        <v>0</v>
      </c>
      <c r="AO5" s="156">
        <f>'Race #2'!AO5+AN5</f>
        <v>0</v>
      </c>
      <c r="AP5" s="121" t="str">
        <f t="shared" si="16"/>
        <v>Exit Strategy</v>
      </c>
      <c r="AQ5" s="80"/>
      <c r="AT5" s="1" t="s">
        <v>140</v>
      </c>
    </row>
    <row r="6" spans="2:46" ht="30" customHeight="1" x14ac:dyDescent="0.2">
      <c r="B6" s="65" t="str">
        <f>'2026 Applebee Finish Summary'!I7</f>
        <v>Magoo</v>
      </c>
      <c r="C6" s="423" t="str">
        <f>'2026 Applebee Finish Summary'!J7</f>
        <v>Catalina 28 MK II</v>
      </c>
      <c r="D6" s="423" t="str">
        <f>'2026 Applebee Finish Summary'!K7</f>
        <v>Steve Luebkeman</v>
      </c>
      <c r="E6" s="46">
        <f>'Handicaps-Roster'!G8</f>
        <v>205</v>
      </c>
      <c r="F6" s="46">
        <f>'Handicaps-Roster'!H8</f>
        <v>208</v>
      </c>
      <c r="G6" s="46">
        <f>'Race #2'!AH6</f>
        <v>195</v>
      </c>
      <c r="H6" s="58">
        <f t="shared" si="0"/>
        <v>1.0207538923869586</v>
      </c>
      <c r="I6" s="437">
        <f>'Race #1'!AI6</f>
        <v>213</v>
      </c>
      <c r="J6" s="58">
        <f t="shared" si="1"/>
        <v>0.99815417521233962</v>
      </c>
      <c r="K6" s="58" t="str">
        <f t="shared" si="17"/>
        <v>No</v>
      </c>
      <c r="L6" s="334">
        <f>IF(K6="Yes",1,0)</f>
        <v>0</v>
      </c>
      <c r="M6" s="329"/>
      <c r="N6" s="329"/>
      <c r="O6" s="34">
        <f t="shared" si="18"/>
        <v>0</v>
      </c>
      <c r="P6" s="337" t="str">
        <f t="shared" si="3"/>
        <v/>
      </c>
      <c r="Q6" s="160">
        <f t="shared" ref="Q6:Q14" si="24">N6-M6</f>
        <v>0</v>
      </c>
      <c r="R6" s="161">
        <f t="shared" ref="R6:R14" si="25">HOUR(Q6)*3600+MINUTE(Q6)*60+SECOND(Q6)</f>
        <v>0</v>
      </c>
      <c r="S6" s="161">
        <f t="shared" si="4"/>
        <v>0</v>
      </c>
      <c r="T6" s="331" t="s">
        <v>140</v>
      </c>
      <c r="U6" s="335" t="str">
        <f t="shared" si="19"/>
        <v/>
      </c>
      <c r="V6" s="336">
        <f t="shared" si="5"/>
        <v>0</v>
      </c>
      <c r="W6" s="336">
        <f t="shared" si="6"/>
        <v>0</v>
      </c>
      <c r="X6" s="161">
        <f t="shared" si="20"/>
        <v>0</v>
      </c>
      <c r="Y6" s="34">
        <f t="shared" si="21"/>
        <v>0</v>
      </c>
      <c r="Z6" s="62" t="str">
        <f t="shared" si="7"/>
        <v/>
      </c>
      <c r="AA6" s="62" t="str">
        <f t="shared" si="8"/>
        <v/>
      </c>
      <c r="AB6" s="169" t="str">
        <f t="shared" si="9"/>
        <v/>
      </c>
      <c r="AC6" s="173">
        <f t="shared" si="10"/>
        <v>0</v>
      </c>
      <c r="AD6" s="34">
        <f t="shared" si="11"/>
        <v>0</v>
      </c>
      <c r="AE6" s="34">
        <f t="shared" si="12"/>
        <v>0</v>
      </c>
      <c r="AF6" s="34">
        <f t="shared" ref="AF6:AF14" si="26">IF(AE6&gt;30,30,IF(AE6&lt;-30,-30,(AE6)))</f>
        <v>0</v>
      </c>
      <c r="AG6" s="78">
        <f t="shared" si="13"/>
        <v>0</v>
      </c>
      <c r="AH6" s="166">
        <f>MIN(MAX(IF(T6="Yes",G6+AG6,G6),'Handicaps-Roster'!L8),'Handicaps-Roster'!M8)</f>
        <v>195</v>
      </c>
      <c r="AI6" s="166">
        <f>MIN(MAX(IF(T6="No",I6+AG6,I6),'Handicaps-Roster'!N8),'Handicaps-Roster'!O8)</f>
        <v>213</v>
      </c>
      <c r="AJ6" s="174">
        <f>AC6+'Race #2'!$AJ6</f>
        <v>1</v>
      </c>
      <c r="AK6" s="175" t="str">
        <f t="shared" si="22"/>
        <v/>
      </c>
      <c r="AL6" s="194" t="str">
        <f t="shared" si="14"/>
        <v/>
      </c>
      <c r="AM6" s="156" t="str">
        <f t="shared" si="15"/>
        <v/>
      </c>
      <c r="AN6" s="156">
        <f t="shared" si="23"/>
        <v>0</v>
      </c>
      <c r="AO6" s="156">
        <f>'Race #2'!AO6+AN6</f>
        <v>1</v>
      </c>
      <c r="AP6" s="121" t="str">
        <f t="shared" si="16"/>
        <v>Magoo</v>
      </c>
      <c r="AQ6" s="80"/>
    </row>
    <row r="7" spans="2:46" ht="30" customHeight="1" x14ac:dyDescent="0.2">
      <c r="B7" s="347" t="str">
        <f>'2026 Applebee Finish Summary'!I8</f>
        <v>Feng Shui</v>
      </c>
      <c r="C7" s="422" t="str">
        <f>'2026 Applebee Finish Summary'!J8</f>
        <v>C&amp;C 34</v>
      </c>
      <c r="D7" s="422" t="str">
        <f>'2026 Applebee Finish Summary'!K8</f>
        <v>Mike Finazzo</v>
      </c>
      <c r="E7" s="162">
        <f>'Handicaps-Roster'!G9</f>
        <v>157</v>
      </c>
      <c r="F7" s="162">
        <f>'Handicaps-Roster'!H9</f>
        <v>169</v>
      </c>
      <c r="G7" s="162">
        <f>'Race #2'!AH7</f>
        <v>175.1</v>
      </c>
      <c r="H7" s="61">
        <f t="shared" si="0"/>
        <v>1.0469608365986738</v>
      </c>
      <c r="I7" s="437">
        <f>'Race #1'!AI7</f>
        <v>188.1227776756605</v>
      </c>
      <c r="J7" s="61">
        <f t="shared" si="1"/>
        <v>1.0296610724041171</v>
      </c>
      <c r="K7" s="61" t="str">
        <f t="shared" si="17"/>
        <v>Yes</v>
      </c>
      <c r="L7" s="328">
        <f t="shared" si="2"/>
        <v>1</v>
      </c>
      <c r="M7" s="329">
        <v>0.53091435185185187</v>
      </c>
      <c r="N7" s="329">
        <v>0.62795138888888891</v>
      </c>
      <c r="O7" s="59">
        <f t="shared" si="18"/>
        <v>1</v>
      </c>
      <c r="P7" s="337">
        <f t="shared" si="3"/>
        <v>2</v>
      </c>
      <c r="Q7" s="163">
        <f>N7-M7</f>
        <v>9.7037037037037033E-2</v>
      </c>
      <c r="R7" s="164">
        <f>HOUR(Q7)*3600+MINUTE(Q7)*60+SECOND(Q7)</f>
        <v>8384</v>
      </c>
      <c r="S7" s="164">
        <f t="shared" si="4"/>
        <v>1313.0969881761105</v>
      </c>
      <c r="T7" s="331" t="s">
        <v>140</v>
      </c>
      <c r="U7" s="332">
        <f t="shared" si="19"/>
        <v>188.1227776756605</v>
      </c>
      <c r="V7" s="333">
        <f t="shared" si="5"/>
        <v>0</v>
      </c>
      <c r="W7" s="333">
        <f t="shared" si="6"/>
        <v>0</v>
      </c>
      <c r="X7" s="164">
        <f t="shared" si="20"/>
        <v>7070.9030118238898</v>
      </c>
      <c r="Y7" s="59">
        <f t="shared" si="21"/>
        <v>8632.6784310361181</v>
      </c>
      <c r="Z7" s="77">
        <f t="shared" si="7"/>
        <v>2</v>
      </c>
      <c r="AA7" s="77">
        <f t="shared" si="8"/>
        <v>3</v>
      </c>
      <c r="AB7" s="169">
        <f t="shared" si="9"/>
        <v>2</v>
      </c>
      <c r="AC7" s="173">
        <f t="shared" si="10"/>
        <v>5</v>
      </c>
      <c r="AD7" s="59">
        <f t="shared" si="11"/>
        <v>1236.7734141885555</v>
      </c>
      <c r="AE7" s="59">
        <f t="shared" si="12"/>
        <v>0</v>
      </c>
      <c r="AF7" s="59">
        <f>IF(AE7&gt;30,30,IF(AE7&lt;-30,-30,(AE7)))</f>
        <v>0</v>
      </c>
      <c r="AG7" s="60">
        <f t="shared" si="13"/>
        <v>0</v>
      </c>
      <c r="AH7" s="165">
        <f>MIN(MAX(IF(T7="Yes",G7+AG7,G7),'Handicaps-Roster'!L9),'Handicaps-Roster'!M9)</f>
        <v>175.1</v>
      </c>
      <c r="AI7" s="165">
        <f>MIN(MAX(IF(T7="No",I7+AG7,I7),'Handicaps-Roster'!N9),'Handicaps-Roster'!O9)</f>
        <v>188.1227776756605</v>
      </c>
      <c r="AJ7" s="174">
        <f>AC7+'Race #2'!$AJ7</f>
        <v>10</v>
      </c>
      <c r="AK7" s="176">
        <f t="shared" si="22"/>
        <v>169</v>
      </c>
      <c r="AL7" s="195">
        <f t="shared" si="14"/>
        <v>8735.6046814044203</v>
      </c>
      <c r="AM7" s="156">
        <f t="shared" si="15"/>
        <v>5</v>
      </c>
      <c r="AN7" s="156">
        <f t="shared" si="23"/>
        <v>2</v>
      </c>
      <c r="AO7" s="156">
        <f>'Race #2'!AO7+AN7</f>
        <v>5</v>
      </c>
      <c r="AP7" s="159" t="str">
        <f t="shared" si="16"/>
        <v>Feng Shui</v>
      </c>
      <c r="AQ7" s="80"/>
    </row>
    <row r="8" spans="2:46" ht="30" customHeight="1" x14ac:dyDescent="0.2">
      <c r="B8" s="65" t="str">
        <f>'2026 Applebee Finish Summary'!I9</f>
        <v>Grin</v>
      </c>
      <c r="C8" s="423" t="str">
        <f>'2026 Applebee Finish Summary'!J9</f>
        <v>Ericson 32-200</v>
      </c>
      <c r="D8" s="423" t="str">
        <f>'2026 Applebee Finish Summary'!K9</f>
        <v>John Woomer</v>
      </c>
      <c r="E8" s="46">
        <f>'Handicaps-Roster'!G10</f>
        <v>165</v>
      </c>
      <c r="F8" s="46">
        <f>'Handicaps-Roster'!H10</f>
        <v>177</v>
      </c>
      <c r="G8" s="46">
        <f>'Race #2'!AH8</f>
        <v>198</v>
      </c>
      <c r="H8" s="58">
        <f t="shared" si="0"/>
        <v>1.0169164717388874</v>
      </c>
      <c r="I8" s="437">
        <f>'Race #1'!AI8</f>
        <v>207.16583579676276</v>
      </c>
      <c r="J8" s="58">
        <f t="shared" si="1"/>
        <v>1.0053687959260462</v>
      </c>
      <c r="K8" s="58" t="str">
        <f t="shared" si="17"/>
        <v>Yes</v>
      </c>
      <c r="L8" s="334">
        <f t="shared" si="2"/>
        <v>1</v>
      </c>
      <c r="M8" s="329">
        <v>0.52937500000000004</v>
      </c>
      <c r="N8" s="329">
        <v>0.6312268518518519</v>
      </c>
      <c r="O8" s="34">
        <f t="shared" si="18"/>
        <v>1</v>
      </c>
      <c r="P8" s="337">
        <f t="shared" si="3"/>
        <v>7</v>
      </c>
      <c r="Q8" s="160">
        <f t="shared" si="24"/>
        <v>0.10185185185185186</v>
      </c>
      <c r="R8" s="161">
        <f t="shared" si="25"/>
        <v>8800</v>
      </c>
      <c r="S8" s="161">
        <f t="shared" si="4"/>
        <v>1446.0175338614042</v>
      </c>
      <c r="T8" s="331" t="s">
        <v>140</v>
      </c>
      <c r="U8" s="335">
        <f t="shared" si="19"/>
        <v>207.16583579676276</v>
      </c>
      <c r="V8" s="333">
        <f t="shared" si="5"/>
        <v>0</v>
      </c>
      <c r="W8" s="336">
        <f>IF(T8="Yes",(-(J8-H8)*R8),0)</f>
        <v>0</v>
      </c>
      <c r="X8" s="161">
        <f>R8-S8+V8</f>
        <v>7353.9824661385956</v>
      </c>
      <c r="Y8" s="34">
        <f>IF(T8="Yes",R8*H8,R8*J8)</f>
        <v>8847.2454041492074</v>
      </c>
      <c r="Z8" s="62">
        <f t="shared" si="7"/>
        <v>7</v>
      </c>
      <c r="AA8" s="62">
        <f t="shared" si="8"/>
        <v>8</v>
      </c>
      <c r="AB8" s="169">
        <f t="shared" si="9"/>
        <v>7</v>
      </c>
      <c r="AC8" s="173">
        <f t="shared" si="10"/>
        <v>1</v>
      </c>
      <c r="AD8" s="34">
        <f t="shared" si="11"/>
        <v>1267.5136682162188</v>
      </c>
      <c r="AE8" s="34">
        <f t="shared" si="12"/>
        <v>30.740254027663241</v>
      </c>
      <c r="AF8" s="34">
        <f t="shared" si="26"/>
        <v>30</v>
      </c>
      <c r="AG8" s="78">
        <f t="shared" si="13"/>
        <v>3</v>
      </c>
      <c r="AH8" s="166">
        <f>MIN(MAX(IF(T8="Yes",G8+AG8,G8),'Handicaps-Roster'!L10),'Handicaps-Roster'!M10)</f>
        <v>198</v>
      </c>
      <c r="AI8" s="166">
        <f>MIN(MAX(IF(T8="No",I8+AG8,I8),'Handicaps-Roster'!N10),'Handicaps-Roster'!O10)</f>
        <v>210.16583579676276</v>
      </c>
      <c r="AJ8" s="174">
        <f>AC8+'Race #2'!$AJ8</f>
        <v>2</v>
      </c>
      <c r="AK8" s="175">
        <f t="shared" si="22"/>
        <v>177</v>
      </c>
      <c r="AL8" s="194">
        <f t="shared" si="14"/>
        <v>9074.6460746460743</v>
      </c>
      <c r="AM8" s="156">
        <f t="shared" si="15"/>
        <v>8</v>
      </c>
      <c r="AN8" s="156">
        <f t="shared" si="23"/>
        <v>1</v>
      </c>
      <c r="AO8" s="156">
        <f>'Race #2'!AO8+AN8</f>
        <v>2</v>
      </c>
      <c r="AP8" s="121" t="str">
        <f t="shared" si="16"/>
        <v>Grin</v>
      </c>
      <c r="AQ8" s="80"/>
    </row>
    <row r="9" spans="2:46" ht="30" customHeight="1" x14ac:dyDescent="0.2">
      <c r="B9" s="347" t="str">
        <f>'2026 Applebee Finish Summary'!I10</f>
        <v>Kristin B II</v>
      </c>
      <c r="C9" s="422" t="str">
        <f>'2026 Applebee Finish Summary'!J10</f>
        <v>Catalina 36 TM</v>
      </c>
      <c r="D9" s="422" t="str">
        <f>'2026 Applebee Finish Summary'!K10</f>
        <v>Mike Cann</v>
      </c>
      <c r="E9" s="162">
        <f>'Handicaps-Roster'!G11</f>
        <v>154</v>
      </c>
      <c r="F9" s="162">
        <f>'Handicaps-Roster'!H11</f>
        <v>163</v>
      </c>
      <c r="G9" s="162">
        <f>'Race #2'!AH9</f>
        <v>179.3</v>
      </c>
      <c r="H9" s="61">
        <f t="shared" si="0"/>
        <v>1.0413182913481742</v>
      </c>
      <c r="I9" s="437">
        <f>'Race #1'!AI9</f>
        <v>191.23804263236943</v>
      </c>
      <c r="J9" s="61">
        <f t="shared" si="1"/>
        <v>1.0256070875306442</v>
      </c>
      <c r="K9" s="61" t="str">
        <f t="shared" si="17"/>
        <v>Yes</v>
      </c>
      <c r="L9" s="328">
        <f t="shared" si="2"/>
        <v>1</v>
      </c>
      <c r="M9" s="329">
        <v>0.53065972222222224</v>
      </c>
      <c r="N9" s="329">
        <v>0.62950231481481478</v>
      </c>
      <c r="O9" s="59">
        <f t="shared" si="18"/>
        <v>1</v>
      </c>
      <c r="P9" s="337">
        <f t="shared" si="3"/>
        <v>3</v>
      </c>
      <c r="Q9" s="163">
        <f t="shared" si="24"/>
        <v>9.8842592592592537E-2</v>
      </c>
      <c r="R9" s="164">
        <f t="shared" si="25"/>
        <v>8540</v>
      </c>
      <c r="S9" s="164">
        <f t="shared" si="4"/>
        <v>1334.8415375739387</v>
      </c>
      <c r="T9" s="331" t="s">
        <v>140</v>
      </c>
      <c r="U9" s="332">
        <f t="shared" si="19"/>
        <v>191.23804263236943</v>
      </c>
      <c r="V9" s="333">
        <f t="shared" si="5"/>
        <v>0</v>
      </c>
      <c r="W9" s="333">
        <f t="shared" ref="W9:W17" si="27">IF(T9="Yes",(-(J9-H9)*R9),0)</f>
        <v>0</v>
      </c>
      <c r="X9" s="164">
        <f>R9-S9+V9</f>
        <v>7205.1584624260613</v>
      </c>
      <c r="Y9" s="59">
        <f t="shared" si="21"/>
        <v>8758.6845275117012</v>
      </c>
      <c r="Z9" s="77">
        <f t="shared" si="7"/>
        <v>3</v>
      </c>
      <c r="AA9" s="77">
        <f t="shared" si="8"/>
        <v>7</v>
      </c>
      <c r="AB9" s="169">
        <f t="shared" si="9"/>
        <v>3</v>
      </c>
      <c r="AC9" s="173">
        <f t="shared" si="10"/>
        <v>4</v>
      </c>
      <c r="AD9" s="59">
        <f t="shared" si="11"/>
        <v>1254.8258635403583</v>
      </c>
      <c r="AE9" s="59">
        <f t="shared" si="12"/>
        <v>18.052449351802807</v>
      </c>
      <c r="AF9" s="59">
        <f t="shared" si="26"/>
        <v>18.052449351802807</v>
      </c>
      <c r="AG9" s="60">
        <f t="shared" si="13"/>
        <v>1.8052449351802808</v>
      </c>
      <c r="AH9" s="165">
        <f>MIN(MAX(IF(T9="Yes",G9+AG9,G9),'Handicaps-Roster'!L11),'Handicaps-Roster'!M11)</f>
        <v>179.3</v>
      </c>
      <c r="AI9" s="165">
        <f>MIN(MAX(IF(T9="No",I9+AG9,I9),'Handicaps-Roster'!N11),'Handicaps-Roster'!O11)</f>
        <v>193.0432875675497</v>
      </c>
      <c r="AJ9" s="174">
        <f>AC9+'Race #2'!$AJ9</f>
        <v>7</v>
      </c>
      <c r="AK9" s="176">
        <f t="shared" si="22"/>
        <v>163</v>
      </c>
      <c r="AL9" s="195">
        <f t="shared" si="14"/>
        <v>8968.119266055046</v>
      </c>
      <c r="AM9" s="156">
        <f t="shared" si="15"/>
        <v>7</v>
      </c>
      <c r="AN9" s="156">
        <f t="shared" si="23"/>
        <v>1</v>
      </c>
      <c r="AO9" s="156">
        <f>'Race #2'!AO9+AN9</f>
        <v>3</v>
      </c>
      <c r="AP9" s="159" t="str">
        <f t="shared" si="16"/>
        <v>Kristin B II</v>
      </c>
      <c r="AQ9" s="80"/>
    </row>
    <row r="10" spans="2:46" ht="30" customHeight="1" x14ac:dyDescent="0.2">
      <c r="B10" s="65" t="str">
        <f>'2026 Applebee Finish Summary'!I11</f>
        <v>MacGuffin</v>
      </c>
      <c r="C10" s="423" t="str">
        <f>'2026 Applebee Finish Summary'!J11</f>
        <v>Shock Harbor 25</v>
      </c>
      <c r="D10" s="423" t="str">
        <f>'2026 Applebee Finish Summary'!K11</f>
        <v>Darryl Rosenbaum</v>
      </c>
      <c r="E10" s="46">
        <f>'Handicaps-Roster'!G12</f>
        <v>204</v>
      </c>
      <c r="F10" s="46">
        <f>'Handicaps-Roster'!H12</f>
        <v>204</v>
      </c>
      <c r="G10" s="46">
        <f>'Race #2'!AH10</f>
        <v>204</v>
      </c>
      <c r="H10" s="58">
        <f t="shared" si="0"/>
        <v>1.0093275428453135</v>
      </c>
      <c r="I10" s="437">
        <f>'Race #1'!AI10</f>
        <v>204</v>
      </c>
      <c r="J10" s="58">
        <f t="shared" si="1"/>
        <v>1.0093275428453135</v>
      </c>
      <c r="K10" s="58" t="str">
        <f t="shared" si="17"/>
        <v>Yes</v>
      </c>
      <c r="L10" s="334">
        <f t="shared" si="2"/>
        <v>1</v>
      </c>
      <c r="M10" s="329">
        <v>0.52962962962962967</v>
      </c>
      <c r="N10" s="329">
        <v>0.62994212962962959</v>
      </c>
      <c r="O10" s="34">
        <f t="shared" si="18"/>
        <v>1</v>
      </c>
      <c r="P10" s="337">
        <f t="shared" si="3"/>
        <v>4</v>
      </c>
      <c r="Q10" s="160">
        <f t="shared" si="24"/>
        <v>0.10031249999999992</v>
      </c>
      <c r="R10" s="161">
        <f t="shared" si="25"/>
        <v>8667</v>
      </c>
      <c r="S10" s="161">
        <f t="shared" si="4"/>
        <v>1423.92</v>
      </c>
      <c r="T10" s="331" t="s">
        <v>140</v>
      </c>
      <c r="U10" s="335">
        <f t="shared" si="19"/>
        <v>204</v>
      </c>
      <c r="V10" s="336">
        <f t="shared" si="5"/>
        <v>0</v>
      </c>
      <c r="W10" s="336">
        <f t="shared" si="27"/>
        <v>0</v>
      </c>
      <c r="X10" s="161">
        <f t="shared" si="20"/>
        <v>7243.08</v>
      </c>
      <c r="Y10" s="34">
        <f t="shared" si="21"/>
        <v>8747.8418138403322</v>
      </c>
      <c r="Z10" s="62">
        <f t="shared" si="7"/>
        <v>4</v>
      </c>
      <c r="AA10" s="62">
        <f t="shared" si="8"/>
        <v>6</v>
      </c>
      <c r="AB10" s="169">
        <f t="shared" si="9"/>
        <v>4</v>
      </c>
      <c r="AC10" s="173">
        <f t="shared" si="10"/>
        <v>3</v>
      </c>
      <c r="AD10" s="34">
        <f t="shared" si="11"/>
        <v>1253.2724661662367</v>
      </c>
      <c r="AE10" s="34">
        <f t="shared" si="12"/>
        <v>16.49905197768112</v>
      </c>
      <c r="AF10" s="34">
        <f t="shared" si="26"/>
        <v>16.49905197768112</v>
      </c>
      <c r="AG10" s="78">
        <f t="shared" si="13"/>
        <v>1.6499051977681121</v>
      </c>
      <c r="AH10" s="166">
        <f>MIN(MAX(IF(T10="Yes",G10+AG10,G10),'Handicaps-Roster'!L12),'Handicaps-Roster'!M12)</f>
        <v>204</v>
      </c>
      <c r="AI10" s="166">
        <f>MIN(MAX(IF(T10="No",I10+AG10,I10),'Handicaps-Roster'!N12),'Handicaps-Roster'!O12)</f>
        <v>205.64990519776811</v>
      </c>
      <c r="AJ10" s="174">
        <f>AC10+'Race #2'!$AJ10</f>
        <v>3</v>
      </c>
      <c r="AK10" s="175">
        <f t="shared" si="22"/>
        <v>204</v>
      </c>
      <c r="AL10" s="194">
        <f t="shared" si="14"/>
        <v>8637.3554104477607</v>
      </c>
      <c r="AM10" s="156">
        <f t="shared" si="15"/>
        <v>4</v>
      </c>
      <c r="AN10" s="156">
        <f t="shared" si="23"/>
        <v>3</v>
      </c>
      <c r="AO10" s="156">
        <f>'Race #2'!AO10+AN10</f>
        <v>3</v>
      </c>
      <c r="AP10" s="121" t="str">
        <f t="shared" si="16"/>
        <v>MacGuffin</v>
      </c>
      <c r="AQ10" s="80"/>
    </row>
    <row r="11" spans="2:46" ht="30" customHeight="1" x14ac:dyDescent="0.2">
      <c r="B11" s="347" t="str">
        <f>'2026 Applebee Finish Summary'!I12</f>
        <v>Mirabelle</v>
      </c>
      <c r="C11" s="422" t="str">
        <f>'2026 Applebee Finish Summary'!J12</f>
        <v>Cape Dory 32</v>
      </c>
      <c r="D11" s="422" t="str">
        <f>'2026 Applebee Finish Summary'!K12</f>
        <v>Campbell McLeod</v>
      </c>
      <c r="E11" s="162">
        <f>'Handicaps-Roster'!G13</f>
        <v>204</v>
      </c>
      <c r="F11" s="162">
        <f>'Handicaps-Roster'!H13</f>
        <v>216</v>
      </c>
      <c r="G11" s="162">
        <f>'Race #2'!AH11</f>
        <v>233.5</v>
      </c>
      <c r="H11" s="61">
        <f t="shared" si="0"/>
        <v>0.97360449243867075</v>
      </c>
      <c r="I11" s="437">
        <f>'Race #1'!AI11</f>
        <v>244.63132491716539</v>
      </c>
      <c r="J11" s="61">
        <f t="shared" si="1"/>
        <v>0.96077344103620288</v>
      </c>
      <c r="K11" s="61" t="str">
        <f t="shared" si="17"/>
        <v>Yes</v>
      </c>
      <c r="L11" s="328">
        <f t="shared" si="2"/>
        <v>1</v>
      </c>
      <c r="M11" s="329">
        <v>0.52634259259259264</v>
      </c>
      <c r="N11" s="329">
        <v>0.63087962962962962</v>
      </c>
      <c r="O11" s="59">
        <f t="shared" si="18"/>
        <v>1</v>
      </c>
      <c r="P11" s="337">
        <f t="shared" si="3"/>
        <v>6</v>
      </c>
      <c r="Q11" s="163">
        <f t="shared" si="24"/>
        <v>0.10453703703703698</v>
      </c>
      <c r="R11" s="164">
        <f t="shared" si="25"/>
        <v>9032</v>
      </c>
      <c r="S11" s="164">
        <f t="shared" si="4"/>
        <v>1707.5266479218144</v>
      </c>
      <c r="T11" s="331" t="s">
        <v>140</v>
      </c>
      <c r="U11" s="332">
        <f t="shared" si="19"/>
        <v>244.63132491716539</v>
      </c>
      <c r="V11" s="333">
        <f t="shared" si="5"/>
        <v>0</v>
      </c>
      <c r="W11" s="333">
        <f t="shared" si="27"/>
        <v>0</v>
      </c>
      <c r="X11" s="164">
        <f t="shared" si="20"/>
        <v>7324.4733520781856</v>
      </c>
      <c r="Y11" s="59">
        <f t="shared" si="21"/>
        <v>8677.7057194389836</v>
      </c>
      <c r="Z11" s="77">
        <f t="shared" si="7"/>
        <v>6</v>
      </c>
      <c r="AA11" s="77">
        <f t="shared" si="8"/>
        <v>4</v>
      </c>
      <c r="AB11" s="169">
        <f t="shared" si="9"/>
        <v>6</v>
      </c>
      <c r="AC11" s="173">
        <f t="shared" si="10"/>
        <v>1</v>
      </c>
      <c r="AD11" s="59">
        <f t="shared" si="11"/>
        <v>1243.2243151058715</v>
      </c>
      <c r="AE11" s="59">
        <f t="shared" si="12"/>
        <v>6.4509009173159484</v>
      </c>
      <c r="AF11" s="59">
        <f t="shared" si="26"/>
        <v>6.4509009173159484</v>
      </c>
      <c r="AG11" s="60">
        <f t="shared" si="13"/>
        <v>0.64509009173159493</v>
      </c>
      <c r="AH11" s="165">
        <f>MIN(MAX(IF(T11="Yes",G11+AG11,G11),'Handicaps-Roster'!L13),'Handicaps-Roster'!M13)</f>
        <v>233.5</v>
      </c>
      <c r="AI11" s="165">
        <f>MIN(MAX(IF(T11="No",I11+AG11,I11),'Handicaps-Roster'!N13),'Handicaps-Roster'!O13)</f>
        <v>245.27641500889698</v>
      </c>
      <c r="AJ11" s="174">
        <f>AC11+'Race #2'!$AJ11</f>
        <v>1</v>
      </c>
      <c r="AK11" s="176">
        <f t="shared" si="22"/>
        <v>216</v>
      </c>
      <c r="AL11" s="195">
        <f t="shared" si="14"/>
        <v>8868.7377450980384</v>
      </c>
      <c r="AM11" s="156">
        <f t="shared" si="15"/>
        <v>6</v>
      </c>
      <c r="AN11" s="156">
        <f t="shared" si="23"/>
        <v>1</v>
      </c>
      <c r="AO11" s="156">
        <f>'Race #2'!AO11+AN11</f>
        <v>1</v>
      </c>
      <c r="AP11" s="159" t="str">
        <f t="shared" si="16"/>
        <v>Mirabelle</v>
      </c>
      <c r="AQ11" s="80"/>
    </row>
    <row r="12" spans="2:46" ht="30" customHeight="1" x14ac:dyDescent="0.2">
      <c r="B12" s="65" t="str">
        <f>'2026 Applebee Finish Summary'!I13</f>
        <v>Outrageous</v>
      </c>
      <c r="C12" s="423" t="str">
        <f>'2026 Applebee Finish Summary'!J13</f>
        <v>Tanzer 22</v>
      </c>
      <c r="D12" s="423" t="str">
        <f>'2026 Applebee Finish Summary'!K13</f>
        <v>Don Webb</v>
      </c>
      <c r="E12" s="46">
        <f>'Handicaps-Roster'!G14</f>
        <v>254</v>
      </c>
      <c r="F12" s="46">
        <f>'Handicaps-Roster'!H14</f>
        <v>261</v>
      </c>
      <c r="G12" s="46">
        <f>'Race #2'!AH12</f>
        <v>252.6</v>
      </c>
      <c r="H12" s="58">
        <f t="shared" si="0"/>
        <v>0.9517937420216187</v>
      </c>
      <c r="I12" s="437">
        <f>'Race #1'!AI12</f>
        <v>255.0180512261407</v>
      </c>
      <c r="J12" s="58">
        <f t="shared" si="1"/>
        <v>0.94910200233071051</v>
      </c>
      <c r="K12" s="58" t="str">
        <f t="shared" si="17"/>
        <v>Yes</v>
      </c>
      <c r="L12" s="334">
        <f t="shared" si="2"/>
        <v>1</v>
      </c>
      <c r="M12" s="329">
        <v>0.52550925925925929</v>
      </c>
      <c r="N12" s="329">
        <v>0.63065972222222222</v>
      </c>
      <c r="O12" s="34">
        <f t="shared" si="18"/>
        <v>1</v>
      </c>
      <c r="P12" s="337">
        <f t="shared" si="3"/>
        <v>5</v>
      </c>
      <c r="Q12" s="160">
        <f t="shared" si="24"/>
        <v>0.10515046296296293</v>
      </c>
      <c r="R12" s="161">
        <f t="shared" si="25"/>
        <v>9085</v>
      </c>
      <c r="S12" s="161">
        <f t="shared" si="4"/>
        <v>1780.0259975584622</v>
      </c>
      <c r="T12" s="331" t="s">
        <v>140</v>
      </c>
      <c r="U12" s="335">
        <f t="shared" si="19"/>
        <v>255.0180512261407</v>
      </c>
      <c r="V12" s="336">
        <f t="shared" si="5"/>
        <v>0</v>
      </c>
      <c r="W12" s="336">
        <f t="shared" si="27"/>
        <v>0</v>
      </c>
      <c r="X12" s="161">
        <f t="shared" si="20"/>
        <v>7304.9740024415378</v>
      </c>
      <c r="Y12" s="34">
        <f t="shared" si="21"/>
        <v>8622.5916911745044</v>
      </c>
      <c r="Z12" s="62">
        <f t="shared" si="7"/>
        <v>5</v>
      </c>
      <c r="AA12" s="62">
        <f t="shared" si="8"/>
        <v>2</v>
      </c>
      <c r="AB12" s="169">
        <f t="shared" si="9"/>
        <v>5</v>
      </c>
      <c r="AC12" s="173">
        <f t="shared" si="10"/>
        <v>2</v>
      </c>
      <c r="AD12" s="34">
        <f t="shared" si="11"/>
        <v>1235.3283225178373</v>
      </c>
      <c r="AE12" s="34">
        <f t="shared" si="12"/>
        <v>-1.4450916707182841</v>
      </c>
      <c r="AF12" s="34">
        <f t="shared" si="26"/>
        <v>-1.4450916707182841</v>
      </c>
      <c r="AG12" s="78">
        <f t="shared" si="13"/>
        <v>-0.14450916707182843</v>
      </c>
      <c r="AH12" s="166">
        <f>MIN(MAX(IF(T12="Yes",G12+AG12,G12),'Handicaps-Roster'!L14),'Handicaps-Roster'!M14)</f>
        <v>252.6</v>
      </c>
      <c r="AI12" s="166">
        <f>MIN(MAX(IF(T12="No",I12+AG12,I12),'Handicaps-Roster'!N14),'Handicaps-Roster'!O14)</f>
        <v>254.87354205906888</v>
      </c>
      <c r="AJ12" s="174">
        <f>AC12+'Race #2'!$AJ12</f>
        <v>6</v>
      </c>
      <c r="AK12" s="175">
        <f t="shared" si="22"/>
        <v>261</v>
      </c>
      <c r="AL12" s="194">
        <f t="shared" si="14"/>
        <v>8454.5368757259002</v>
      </c>
      <c r="AM12" s="156">
        <f t="shared" si="15"/>
        <v>2</v>
      </c>
      <c r="AN12" s="156">
        <f t="shared" si="23"/>
        <v>5</v>
      </c>
      <c r="AO12" s="156">
        <f>'Race #2'!AO12+AN12</f>
        <v>10</v>
      </c>
      <c r="AP12" s="121" t="str">
        <f t="shared" si="16"/>
        <v>Outrageous</v>
      </c>
      <c r="AQ12" s="80"/>
    </row>
    <row r="13" spans="2:46" ht="30" customHeight="1" x14ac:dyDescent="0.2">
      <c r="B13" s="347" t="str">
        <f>'2026 Applebee Finish Summary'!I14</f>
        <v>Paradox</v>
      </c>
      <c r="C13" s="422" t="str">
        <f>'2026 Applebee Finish Summary'!J14</f>
        <v>J 92</v>
      </c>
      <c r="D13" s="422" t="str">
        <f>'2026 Applebee Finish Summary'!K14</f>
        <v>Glenn VanOtteren/Ted Standiford</v>
      </c>
      <c r="E13" s="162">
        <f>'Handicaps-Roster'!G15</f>
        <v>111</v>
      </c>
      <c r="F13" s="162">
        <f>'Handicaps-Roster'!H15</f>
        <v>132</v>
      </c>
      <c r="G13" s="162">
        <f>'Race #2'!AH13</f>
        <v>94.35</v>
      </c>
      <c r="H13" s="61">
        <f t="shared" si="0"/>
        <v>1.1687180016528149</v>
      </c>
      <c r="I13" s="437">
        <f>'Race #1'!AI13</f>
        <v>113.2874601593268</v>
      </c>
      <c r="J13" s="61">
        <f t="shared" si="1"/>
        <v>1.137689066153452</v>
      </c>
      <c r="K13" s="61" t="str">
        <f t="shared" si="17"/>
        <v>Yes</v>
      </c>
      <c r="L13" s="328">
        <f t="shared" si="2"/>
        <v>1</v>
      </c>
      <c r="M13" s="329">
        <v>0.53695601851851849</v>
      </c>
      <c r="N13" s="329">
        <v>0.62547453703703704</v>
      </c>
      <c r="O13" s="59">
        <f t="shared" si="18"/>
        <v>1</v>
      </c>
      <c r="P13" s="337">
        <f t="shared" si="3"/>
        <v>1</v>
      </c>
      <c r="Q13" s="160">
        <f t="shared" si="24"/>
        <v>8.8518518518518552E-2</v>
      </c>
      <c r="R13" s="164">
        <f t="shared" si="25"/>
        <v>7648</v>
      </c>
      <c r="S13" s="164">
        <f t="shared" si="4"/>
        <v>790.74647191210113</v>
      </c>
      <c r="T13" s="331" t="s">
        <v>140</v>
      </c>
      <c r="U13" s="165">
        <f t="shared" si="19"/>
        <v>113.2874601593268</v>
      </c>
      <c r="V13" s="333">
        <f t="shared" si="5"/>
        <v>0</v>
      </c>
      <c r="W13" s="333">
        <f t="shared" si="27"/>
        <v>0</v>
      </c>
      <c r="X13" s="164">
        <f t="shared" si="20"/>
        <v>6857.2535280878992</v>
      </c>
      <c r="Y13" s="59">
        <f t="shared" si="21"/>
        <v>8701.0459779416014</v>
      </c>
      <c r="Z13" s="77">
        <f t="shared" si="7"/>
        <v>1</v>
      </c>
      <c r="AA13" s="77">
        <f t="shared" si="8"/>
        <v>5</v>
      </c>
      <c r="AB13" s="169">
        <f t="shared" si="9"/>
        <v>1</v>
      </c>
      <c r="AC13" s="173">
        <f t="shared" si="10"/>
        <v>6</v>
      </c>
      <c r="AD13" s="59">
        <f t="shared" si="11"/>
        <v>1246.5681916821777</v>
      </c>
      <c r="AE13" s="59">
        <f t="shared" si="12"/>
        <v>9.7947774936221776</v>
      </c>
      <c r="AF13" s="59">
        <f t="shared" si="26"/>
        <v>9.7947774936221776</v>
      </c>
      <c r="AG13" s="60">
        <f t="shared" si="13"/>
        <v>0.97947774936221776</v>
      </c>
      <c r="AH13" s="165">
        <f>MIN(MAX(IF(T13="Yes",G13+AG13,G13),'Handicaps-Roster'!L15),'Handicaps-Roster'!M15)</f>
        <v>94.35</v>
      </c>
      <c r="AI13" s="165">
        <f>MIN(MAX(IF(T13="No",I13+AG13,I13),'Handicaps-Roster'!N15),'Handicaps-Roster'!O15)</f>
        <v>114.26693790868902</v>
      </c>
      <c r="AJ13" s="174">
        <f>AC13+'Race #2'!$AJ13</f>
        <v>12</v>
      </c>
      <c r="AK13" s="176">
        <f>IF(O13=1,IF(T13="Yes",E13,F13),"")</f>
        <v>132</v>
      </c>
      <c r="AL13" s="195">
        <f t="shared" si="14"/>
        <v>8371.5300546448088</v>
      </c>
      <c r="AM13" s="156">
        <f t="shared" si="15"/>
        <v>1</v>
      </c>
      <c r="AN13" s="156">
        <f t="shared" si="23"/>
        <v>6</v>
      </c>
      <c r="AO13" s="156">
        <f>'Race #2'!AO13+AN13</f>
        <v>12</v>
      </c>
      <c r="AP13" s="159" t="str">
        <f t="shared" si="16"/>
        <v>Paradox</v>
      </c>
      <c r="AQ13" s="80"/>
    </row>
    <row r="14" spans="2:46" ht="30" customHeight="1" x14ac:dyDescent="0.2">
      <c r="B14" s="65" t="str">
        <f>'2026 Applebee Finish Summary'!I15</f>
        <v>Pegasus</v>
      </c>
      <c r="C14" s="423" t="str">
        <f>'2026 Applebee Finish Summary'!J15</f>
        <v>Catalina 320</v>
      </c>
      <c r="D14" s="423" t="str">
        <f>'2026 Applebee Finish Summary'!K15</f>
        <v>Bill Allen</v>
      </c>
      <c r="E14" s="46">
        <f>'Handicaps-Roster'!G16</f>
        <v>162</v>
      </c>
      <c r="F14" s="46">
        <f>'Handicaps-Roster'!H16</f>
        <v>171</v>
      </c>
      <c r="G14" s="46">
        <f>'Race #2'!AH14</f>
        <v>137.69999999999999</v>
      </c>
      <c r="H14" s="58">
        <f t="shared" si="0"/>
        <v>1.1000397782942009</v>
      </c>
      <c r="I14" s="437">
        <f>'Race #1'!AI14</f>
        <v>146.67969019901307</v>
      </c>
      <c r="J14" s="58">
        <f t="shared" si="1"/>
        <v>1.0868105227709388</v>
      </c>
      <c r="K14" s="58" t="str">
        <f t="shared" si="17"/>
        <v>No</v>
      </c>
      <c r="L14" s="334">
        <f t="shared" si="2"/>
        <v>0</v>
      </c>
      <c r="M14" s="329"/>
      <c r="N14" s="329"/>
      <c r="O14" s="34">
        <f t="shared" si="18"/>
        <v>0</v>
      </c>
      <c r="P14" s="337" t="str">
        <f t="shared" si="3"/>
        <v/>
      </c>
      <c r="Q14" s="160">
        <f t="shared" si="24"/>
        <v>0</v>
      </c>
      <c r="R14" s="161">
        <f t="shared" si="25"/>
        <v>0</v>
      </c>
      <c r="S14" s="161">
        <f t="shared" si="4"/>
        <v>0</v>
      </c>
      <c r="T14" s="331" t="s">
        <v>140</v>
      </c>
      <c r="U14" s="335" t="str">
        <f t="shared" si="19"/>
        <v/>
      </c>
      <c r="V14" s="336">
        <f t="shared" si="5"/>
        <v>0</v>
      </c>
      <c r="W14" s="336">
        <f t="shared" si="27"/>
        <v>0</v>
      </c>
      <c r="X14" s="161">
        <f t="shared" si="20"/>
        <v>0</v>
      </c>
      <c r="Y14" s="34">
        <f t="shared" si="21"/>
        <v>0</v>
      </c>
      <c r="Z14" s="62" t="str">
        <f t="shared" si="7"/>
        <v/>
      </c>
      <c r="AA14" s="62" t="str">
        <f t="shared" si="8"/>
        <v/>
      </c>
      <c r="AB14" s="169" t="str">
        <f t="shared" si="9"/>
        <v/>
      </c>
      <c r="AC14" s="173">
        <f t="shared" si="10"/>
        <v>0</v>
      </c>
      <c r="AD14" s="34">
        <f t="shared" si="11"/>
        <v>0</v>
      </c>
      <c r="AE14" s="34">
        <f t="shared" si="12"/>
        <v>0</v>
      </c>
      <c r="AF14" s="34">
        <f t="shared" si="26"/>
        <v>0</v>
      </c>
      <c r="AG14" s="78">
        <f t="shared" si="13"/>
        <v>0</v>
      </c>
      <c r="AH14" s="166">
        <f>MIN(MAX(IF(T14="Yes",G14+AG14,G14),'Handicaps-Roster'!L16),'Handicaps-Roster'!M16)</f>
        <v>137.69999999999999</v>
      </c>
      <c r="AI14" s="166">
        <f>MIN(MAX(IF(T14="No",I14+AG14,I14),'Handicaps-Roster'!N16),'Handicaps-Roster'!O16)</f>
        <v>146.67969019901307</v>
      </c>
      <c r="AJ14" s="174">
        <f>AC14+'Race #2'!$AJ14</f>
        <v>0</v>
      </c>
      <c r="AK14" s="175" t="str">
        <f t="shared" si="22"/>
        <v/>
      </c>
      <c r="AL14" s="194" t="str">
        <f t="shared" si="14"/>
        <v/>
      </c>
      <c r="AM14" s="156" t="str">
        <f t="shared" si="15"/>
        <v/>
      </c>
      <c r="AN14" s="156">
        <f t="shared" si="23"/>
        <v>0</v>
      </c>
      <c r="AO14" s="156">
        <f>'Race #2'!AO14+AN14</f>
        <v>0</v>
      </c>
      <c r="AP14" s="121" t="str">
        <f>B14</f>
        <v>Pegasus</v>
      </c>
      <c r="AQ14" s="80"/>
    </row>
    <row r="15" spans="2:46" ht="30" customHeight="1" x14ac:dyDescent="0.2">
      <c r="B15" s="348" t="str">
        <f>'2026 Applebee Finish Summary'!I16</f>
        <v>Triton</v>
      </c>
      <c r="C15" s="424" t="str">
        <f>'2026 Applebee Finish Summary'!J16</f>
        <v>Hans Christian 43</v>
      </c>
      <c r="D15" s="424" t="str">
        <f>'2026 Applebee Finish Summary'!K16</f>
        <v>Alex Parks</v>
      </c>
      <c r="E15" s="46">
        <f>'Handicaps-Roster'!G17</f>
        <v>162</v>
      </c>
      <c r="F15" s="46">
        <f>'Handicaps-Roster'!H17</f>
        <v>177</v>
      </c>
      <c r="G15" s="46">
        <f>'Race #2'!AH15</f>
        <v>194.4</v>
      </c>
      <c r="H15" s="58">
        <f t="shared" si="0"/>
        <v>1.0215248545413294</v>
      </c>
      <c r="I15" s="437">
        <f>'Race #1'!AI15</f>
        <v>212.4</v>
      </c>
      <c r="J15" s="58">
        <f t="shared" si="1"/>
        <v>0.9988913644111671</v>
      </c>
      <c r="K15" s="412" t="str">
        <f t="shared" si="17"/>
        <v>No</v>
      </c>
      <c r="L15" s="334">
        <f>IF(K15="Yes",1,0)</f>
        <v>0</v>
      </c>
      <c r="M15" s="329"/>
      <c r="N15" s="329"/>
      <c r="O15" s="34">
        <f t="shared" si="18"/>
        <v>0</v>
      </c>
      <c r="P15" s="337" t="str">
        <f t="shared" si="3"/>
        <v/>
      </c>
      <c r="Q15" s="160">
        <f>N15-M15</f>
        <v>0</v>
      </c>
      <c r="R15" s="161">
        <f>HOUR(Q15)*3600+MINUTE(Q15)*60+SECOND(Q15)</f>
        <v>0</v>
      </c>
      <c r="S15" s="161">
        <f t="shared" si="4"/>
        <v>0</v>
      </c>
      <c r="T15" s="331" t="s">
        <v>140</v>
      </c>
      <c r="U15" s="335" t="str">
        <f>IF(O15=1,IF(T15="No",I15,G15),"")</f>
        <v/>
      </c>
      <c r="V15" s="336">
        <f t="shared" si="5"/>
        <v>0</v>
      </c>
      <c r="W15" s="336">
        <f t="shared" si="27"/>
        <v>0</v>
      </c>
      <c r="X15" s="161">
        <f>R15-S15+V15</f>
        <v>0</v>
      </c>
      <c r="Y15" s="34">
        <f>IF(T15="Yes",R15*H15,R15*J15)</f>
        <v>0</v>
      </c>
      <c r="Z15" s="62" t="str">
        <f t="shared" si="7"/>
        <v/>
      </c>
      <c r="AA15" s="62" t="str">
        <f t="shared" si="8"/>
        <v/>
      </c>
      <c r="AB15" s="169" t="str">
        <f t="shared" si="9"/>
        <v/>
      </c>
      <c r="AC15" s="173">
        <f t="shared" si="10"/>
        <v>0</v>
      </c>
      <c r="AD15" s="34">
        <f t="shared" si="11"/>
        <v>0</v>
      </c>
      <c r="AE15" s="34">
        <f t="shared" si="12"/>
        <v>0</v>
      </c>
      <c r="AF15" s="34">
        <f>IF(AE15&gt;30,30,IF(AE15&lt;-30,-30,(AE15)))</f>
        <v>0</v>
      </c>
      <c r="AG15" s="78">
        <f t="shared" si="13"/>
        <v>0</v>
      </c>
      <c r="AH15" s="166">
        <f>MIN(MAX(IF(T15="Yes",G15+AG15,G15),'Handicaps-Roster'!L17),'Handicaps-Roster'!M17)</f>
        <v>194.4</v>
      </c>
      <c r="AI15" s="166">
        <f>MIN(MAX(IF(T15="No",I15+AG15,I15),'Handicaps-Roster'!N17),'Handicaps-Roster'!O17)</f>
        <v>212.4</v>
      </c>
      <c r="AJ15" s="174">
        <f>AC15+'Race #2'!$AJ15</f>
        <v>0</v>
      </c>
      <c r="AK15" s="175" t="str">
        <f>IF(O15=1,IF(T15="Yes",E15,F15),"")</f>
        <v/>
      </c>
      <c r="AL15" s="194" t="str">
        <f t="shared" si="14"/>
        <v/>
      </c>
      <c r="AM15" s="156" t="str">
        <f t="shared" si="15"/>
        <v/>
      </c>
      <c r="AN15" s="156">
        <f>IF(AM15=1,5,IF(AM15=2,4,IF(AM15=3,3,IF(AM15=4,2,IF(AM15=5,1,0)))))+O15</f>
        <v>0</v>
      </c>
      <c r="AO15" s="156">
        <f>'Race #2'!AO15+AN15</f>
        <v>0</v>
      </c>
      <c r="AP15" s="121" t="str">
        <f>B15</f>
        <v>Triton</v>
      </c>
      <c r="AQ15" s="80"/>
    </row>
    <row r="16" spans="2:46" ht="30" customHeight="1" x14ac:dyDescent="0.2">
      <c r="B16" s="349" t="str">
        <f>'2026 Applebee Finish Summary'!I17</f>
        <v>Lone Gull</v>
      </c>
      <c r="C16" s="425" t="str">
        <f>'2026 Applebee Finish Summary'!J17</f>
        <v>Cal 20</v>
      </c>
      <c r="D16" s="425" t="str">
        <f>'2026 Applebee Finish Summary'!K17</f>
        <v>Kevin Savage</v>
      </c>
      <c r="E16" s="162">
        <f>'Handicaps-Roster'!G18</f>
        <v>280</v>
      </c>
      <c r="F16" s="162">
        <f>'Handicaps-Roster'!H18</f>
        <v>288</v>
      </c>
      <c r="G16" s="162">
        <f>'Race #2'!AH16</f>
        <v>280</v>
      </c>
      <c r="H16" s="61">
        <f t="shared" ref="H16:H17" si="28">$E$31/($E$24+G16)</f>
        <v>0.92215834596321833</v>
      </c>
      <c r="I16" s="437">
        <f>'Race #1'!AI16</f>
        <v>288.53126317363109</v>
      </c>
      <c r="J16" s="61">
        <f t="shared" ref="J16:J17" si="29">$E$31/($E$24+I16)</f>
        <v>0.91330421120934058</v>
      </c>
      <c r="K16" s="414" t="str">
        <f t="shared" si="17"/>
        <v>Yes</v>
      </c>
      <c r="L16" s="328">
        <f t="shared" ref="L16:L17" si="30">IF(K16="Yes",1,0)</f>
        <v>1</v>
      </c>
      <c r="M16" s="329">
        <v>0.52280092592592597</v>
      </c>
      <c r="N16" s="329">
        <v>0.63156250000000003</v>
      </c>
      <c r="O16" s="59">
        <f t="shared" si="18"/>
        <v>1</v>
      </c>
      <c r="P16" s="337">
        <f t="shared" si="3"/>
        <v>8</v>
      </c>
      <c r="Q16" s="163">
        <f t="shared" ref="Q16:Q17" si="31">N16-M16</f>
        <v>0.10876157407407405</v>
      </c>
      <c r="R16" s="164">
        <f t="shared" ref="R16:R17" si="32">HOUR(Q16)*3600+MINUTE(Q16)*60+SECOND(Q16)</f>
        <v>9397</v>
      </c>
      <c r="S16" s="164">
        <f t="shared" ref="S16:S17" si="33">IF(N16&gt;0,($I16*$E$20),0)</f>
        <v>2013.9482169519451</v>
      </c>
      <c r="T16" s="331" t="s">
        <v>140</v>
      </c>
      <c r="U16" s="332">
        <f t="shared" ref="U16:U17" si="34">IF(O16=1,IF(T16="No",I16,G16),"")</f>
        <v>288.53126317363109</v>
      </c>
      <c r="V16" s="333">
        <f t="shared" si="5"/>
        <v>0</v>
      </c>
      <c r="W16" s="333">
        <f t="shared" si="27"/>
        <v>0</v>
      </c>
      <c r="X16" s="164">
        <f t="shared" ref="X16:X17" si="35">R16-S16+V16</f>
        <v>7383.0517830480549</v>
      </c>
      <c r="Y16" s="59">
        <f t="shared" ref="Y16:Y17" si="36">IF(T16="Yes",R16*H16,R16*J16)</f>
        <v>8582.3196727341729</v>
      </c>
      <c r="Z16" s="77">
        <f t="shared" si="7"/>
        <v>8</v>
      </c>
      <c r="AA16" s="77">
        <f t="shared" si="8"/>
        <v>1</v>
      </c>
      <c r="AB16" s="169">
        <f t="shared" ref="AB16:AB17" si="37">IF($E$21="Yes",Z16,AA16)</f>
        <v>8</v>
      </c>
      <c r="AC16" s="173">
        <f t="shared" ref="AC16:AC17" si="38">IF($E$21="Yes",IF(Z16=1,5,IF(Z16=2,4,IF(Z16=3,3,IF(Z16=4,2,IF(Z16=5,1,0))))),IF(AA16=1,5,IF(AA16=2,4,IF(AA16=3,3,IF(AA16=4,2,IF(AA16=5,1,0))))))+L16</f>
        <v>1</v>
      </c>
      <c r="AD16" s="59">
        <f t="shared" ref="AD16:AD17" si="39">Y16/$E$20</f>
        <v>1229.5586923687927</v>
      </c>
      <c r="AE16" s="59">
        <f t="shared" ref="AE16:AE17" si="40">IF(AD16&gt;0,((Y16/$E$20)-$E$29),0)</f>
        <v>-7.2147218197628717</v>
      </c>
      <c r="AF16" s="59">
        <f t="shared" ref="AF16:AF17" si="41">IF(AE16&gt;30,30,IF(AE16&lt;-30,-30,(AE16)))</f>
        <v>-7.2147218197628717</v>
      </c>
      <c r="AG16" s="60">
        <f t="shared" ref="AG16:AG17" si="42">AF16*$E$22</f>
        <v>-0.72147218197628726</v>
      </c>
      <c r="AH16" s="165">
        <f>MIN(MAX(IF(T16="Yes",G16+AG16,G16),'Handicaps-Roster'!L18),'Handicaps-Roster'!M18)</f>
        <v>280</v>
      </c>
      <c r="AI16" s="165">
        <f>MIN(MAX(IF(T16="No",I16+AG16,I16),'Handicaps-Roster'!N18),'Handicaps-Roster'!O18)</f>
        <v>287.80979099165478</v>
      </c>
      <c r="AJ16" s="174">
        <f>AC16+'Race #2'!$AJ16</f>
        <v>3</v>
      </c>
      <c r="AK16" s="176">
        <f t="shared" ref="AK16:AK17" si="43">IF(O16=1,IF(T16="Yes",E16,F16),"")</f>
        <v>288</v>
      </c>
      <c r="AL16" s="195">
        <f t="shared" ref="AL16:AL17" si="44">IFERROR((($AN$22/($E$24+AK16))*R16),"")</f>
        <v>8478.9935247747744</v>
      </c>
      <c r="AM16" s="156">
        <f t="shared" si="15"/>
        <v>3</v>
      </c>
      <c r="AN16" s="156">
        <f t="shared" ref="AN16:AN17" si="45">IF(AM16=1,5,IF(AM16=2,4,IF(AM16=3,3,IF(AM16=4,2,IF(AM16=5,1,0)))))+O16</f>
        <v>4</v>
      </c>
      <c r="AO16" s="156">
        <f>'Race #2'!AO16+AN16</f>
        <v>8</v>
      </c>
      <c r="AP16" s="159" t="str">
        <f t="shared" ref="AP16:AP17" si="46">B16</f>
        <v>Lone Gull</v>
      </c>
      <c r="AQ16" s="80"/>
    </row>
    <row r="17" spans="2:43" ht="30" customHeight="1" thickBot="1" x14ac:dyDescent="0.25">
      <c r="B17" s="396">
        <f>'2026 Applebee Finish Summary'!I18</f>
        <v>0</v>
      </c>
      <c r="C17" s="426">
        <f>'2026 Applebee Finish Summary'!J18</f>
        <v>0</v>
      </c>
      <c r="D17" s="426">
        <f>'2026 Applebee Finish Summary'!K18</f>
        <v>0</v>
      </c>
      <c r="E17" s="275">
        <f>'Handicaps-Roster'!G19</f>
        <v>0</v>
      </c>
      <c r="F17" s="275">
        <f>'Handicaps-Roster'!H19</f>
        <v>0</v>
      </c>
      <c r="G17" s="275">
        <f>'Race #2'!AH17</f>
        <v>0</v>
      </c>
      <c r="H17" s="276">
        <f t="shared" si="28"/>
        <v>1.3524989074127201</v>
      </c>
      <c r="I17" s="438">
        <f>'Race #1'!AI17</f>
        <v>0</v>
      </c>
      <c r="J17" s="276">
        <f t="shared" si="29"/>
        <v>1.3524989074127201</v>
      </c>
      <c r="K17" s="413" t="str">
        <f t="shared" si="17"/>
        <v>No</v>
      </c>
      <c r="L17" s="342">
        <f t="shared" si="30"/>
        <v>0</v>
      </c>
      <c r="M17" s="338"/>
      <c r="N17" s="338"/>
      <c r="O17" s="277">
        <f t="shared" si="18"/>
        <v>0</v>
      </c>
      <c r="P17" s="339" t="str">
        <f t="shared" si="3"/>
        <v/>
      </c>
      <c r="Q17" s="278">
        <f t="shared" si="31"/>
        <v>0</v>
      </c>
      <c r="R17" s="279">
        <f t="shared" si="32"/>
        <v>0</v>
      </c>
      <c r="S17" s="279">
        <f t="shared" si="33"/>
        <v>0</v>
      </c>
      <c r="T17" s="340" t="s">
        <v>140</v>
      </c>
      <c r="U17" s="395" t="str">
        <f t="shared" si="34"/>
        <v/>
      </c>
      <c r="V17" s="343">
        <f t="shared" si="5"/>
        <v>0</v>
      </c>
      <c r="W17" s="343">
        <f t="shared" si="27"/>
        <v>0</v>
      </c>
      <c r="X17" s="279">
        <f t="shared" si="35"/>
        <v>0</v>
      </c>
      <c r="Y17" s="277">
        <f t="shared" si="36"/>
        <v>0</v>
      </c>
      <c r="Z17" s="280" t="str">
        <f t="shared" si="7"/>
        <v/>
      </c>
      <c r="AA17" s="280" t="str">
        <f t="shared" si="8"/>
        <v/>
      </c>
      <c r="AB17" s="171" t="str">
        <f t="shared" si="37"/>
        <v/>
      </c>
      <c r="AC17" s="177">
        <f t="shared" si="38"/>
        <v>0</v>
      </c>
      <c r="AD17" s="277">
        <f t="shared" si="39"/>
        <v>0</v>
      </c>
      <c r="AE17" s="277">
        <f t="shared" si="40"/>
        <v>0</v>
      </c>
      <c r="AF17" s="277">
        <f t="shared" si="41"/>
        <v>0</v>
      </c>
      <c r="AG17" s="281">
        <f t="shared" si="42"/>
        <v>0</v>
      </c>
      <c r="AH17" s="282">
        <f>MIN(MAX(IF(T17="Yes",G17+AG17,G17),'Handicaps-Roster'!L19),'Handicaps-Roster'!M19)</f>
        <v>0</v>
      </c>
      <c r="AI17" s="282">
        <f>MIN(MAX(IF(T17="No",I17+AG17,I17),'Handicaps-Roster'!N19),'Handicaps-Roster'!O19)</f>
        <v>0</v>
      </c>
      <c r="AJ17" s="178">
        <f>AC17+'Race #2'!$AJ17</f>
        <v>0</v>
      </c>
      <c r="AK17" s="287" t="str">
        <f t="shared" si="43"/>
        <v/>
      </c>
      <c r="AL17" s="286" t="str">
        <f t="shared" si="44"/>
        <v/>
      </c>
      <c r="AM17" s="157" t="str">
        <f t="shared" si="15"/>
        <v/>
      </c>
      <c r="AN17" s="157">
        <f t="shared" si="45"/>
        <v>0</v>
      </c>
      <c r="AO17" s="157">
        <f>'Race #2'!AO17+AN17</f>
        <v>0</v>
      </c>
      <c r="AP17" s="285">
        <f t="shared" si="46"/>
        <v>0</v>
      </c>
      <c r="AQ17" s="80"/>
    </row>
    <row r="18" spans="2:43" ht="30" customHeight="1" x14ac:dyDescent="0.2">
      <c r="AO18" s="80"/>
    </row>
    <row r="19" spans="2:43" ht="16" thickBot="1" x14ac:dyDescent="0.25">
      <c r="B19" s="4"/>
      <c r="E19" s="5"/>
      <c r="F19" s="11"/>
      <c r="G19" s="5"/>
      <c r="H19" s="11"/>
      <c r="I19" s="11"/>
      <c r="J19" s="11"/>
      <c r="K19" s="11"/>
      <c r="L19" s="11"/>
      <c r="M19" s="11"/>
      <c r="N19" s="13"/>
      <c r="O19" s="13"/>
      <c r="P19" s="11"/>
      <c r="Q19" s="11"/>
      <c r="R19" s="11"/>
      <c r="S19" s="8"/>
      <c r="T19" s="89" t="s">
        <v>146</v>
      </c>
      <c r="U19" s="11"/>
      <c r="V19" s="11"/>
      <c r="W19" s="13"/>
      <c r="X19" s="13"/>
      <c r="Y19" s="18"/>
      <c r="Z19" s="18"/>
      <c r="AA19" s="13"/>
      <c r="AB19" s="13"/>
      <c r="AC19" s="89" t="s">
        <v>186</v>
      </c>
      <c r="AD19" s="13"/>
      <c r="AE19" s="15"/>
      <c r="AF19" s="16"/>
      <c r="AG19" s="11"/>
      <c r="AH19" s="11"/>
      <c r="AI19" s="5"/>
    </row>
    <row r="20" spans="2:43" ht="18" customHeight="1" x14ac:dyDescent="0.35">
      <c r="D20" s="87" t="s">
        <v>141</v>
      </c>
      <c r="E20" s="86">
        <f>Z30</f>
        <v>6.98</v>
      </c>
      <c r="G20" s="481" t="s">
        <v>142</v>
      </c>
      <c r="H20" s="482"/>
      <c r="I20" s="511" t="s">
        <v>102</v>
      </c>
      <c r="J20" s="482"/>
      <c r="K20" s="516" t="s">
        <v>143</v>
      </c>
      <c r="L20" s="493"/>
      <c r="M20" s="516" t="s">
        <v>144</v>
      </c>
      <c r="N20" s="491"/>
      <c r="P20" s="512" t="s">
        <v>145</v>
      </c>
      <c r="Q20" s="513"/>
      <c r="U20" s="89" t="s">
        <v>147</v>
      </c>
      <c r="W20" s="89" t="s">
        <v>148</v>
      </c>
      <c r="Z20" s="233" t="s">
        <v>149</v>
      </c>
      <c r="AD20" t="s">
        <v>395</v>
      </c>
      <c r="AK20" s="521" t="s">
        <v>150</v>
      </c>
      <c r="AL20" s="500"/>
      <c r="AM20" s="500"/>
      <c r="AN20" s="501"/>
    </row>
    <row r="21" spans="2:43" ht="18" customHeight="1" x14ac:dyDescent="0.2">
      <c r="D21" s="87" t="s">
        <v>151</v>
      </c>
      <c r="E21" s="24" t="s">
        <v>139</v>
      </c>
      <c r="G21" s="477" t="str">
        <f>IF($E$27&gt;0,"First Place","")</f>
        <v>First Place</v>
      </c>
      <c r="H21" s="478"/>
      <c r="I21" s="483" t="str">
        <f>IF($E$27&gt;0,VLOOKUP(1,$AB$4:$AP$17,15,FALSE),"")</f>
        <v>Paradox</v>
      </c>
      <c r="J21" s="484"/>
      <c r="K21" s="514">
        <f t="shared" ref="K21:K32" si="47">IFERROR(VLOOKUP(I21,$B$4:$Y$17,24,0)-_xlfn.MINIFS($Y$4:$Y$17,$Y$4:$Y$17,"&gt;0"),"")</f>
        <v>118.7263052074286</v>
      </c>
      <c r="L21" s="515"/>
      <c r="M21" s="514">
        <f t="shared" ref="M21:M32" si="48">IFERROR(VLOOKUP(I21,$B$4:$X$17,23,0)-_xlfn.MINIFS($X$4:$X$17,$X$4:$X$17,"&gt;0"),"")</f>
        <v>0</v>
      </c>
      <c r="N21" s="517"/>
      <c r="P21" s="115" t="s">
        <v>93</v>
      </c>
      <c r="Q21" s="115" t="s">
        <v>152</v>
      </c>
      <c r="U21" s="30"/>
      <c r="V21" s="30"/>
      <c r="AK21" s="147" t="s">
        <v>153</v>
      </c>
      <c r="AL21" s="148"/>
      <c r="AM21" s="148"/>
      <c r="AN21" s="154">
        <f>SUM(AK4:AK17)/E27</f>
        <v>201.25</v>
      </c>
    </row>
    <row r="22" spans="2:43" ht="18" customHeight="1" x14ac:dyDescent="0.2">
      <c r="D22" s="87" t="s">
        <v>154</v>
      </c>
      <c r="E22" s="250">
        <v>0.1</v>
      </c>
      <c r="G22" s="477" t="str">
        <f>IF(E27&gt;1,"Second Place","")</f>
        <v>Second Place</v>
      </c>
      <c r="H22" s="478"/>
      <c r="I22" s="483" t="str">
        <f>IF($E$27&gt;1,VLOOKUP(2,$AB$4:$AP$17,15,FALSE),"")</f>
        <v>Feng Shui</v>
      </c>
      <c r="J22" s="484"/>
      <c r="K22" s="514">
        <f t="shared" si="47"/>
        <v>50.358758301945272</v>
      </c>
      <c r="L22" s="515"/>
      <c r="M22" s="514">
        <f t="shared" si="48"/>
        <v>213.64948373599054</v>
      </c>
      <c r="N22" s="517"/>
      <c r="P22" s="116">
        <v>2</v>
      </c>
      <c r="Q22" s="117">
        <v>1</v>
      </c>
      <c r="U22" s="430" t="s">
        <v>193</v>
      </c>
      <c r="V22" s="430"/>
      <c r="W22" s="430" t="s">
        <v>197</v>
      </c>
      <c r="X22" s="107"/>
      <c r="Y22" s="107"/>
      <c r="Z22" s="429">
        <v>1.845</v>
      </c>
      <c r="AA22" s="148"/>
      <c r="AB22" s="148"/>
      <c r="AK22" s="147" t="s">
        <v>155</v>
      </c>
      <c r="AL22" s="148"/>
      <c r="AM22" s="148"/>
      <c r="AN22" s="154">
        <f>AN21+E24</f>
        <v>801.25</v>
      </c>
    </row>
    <row r="23" spans="2:43" ht="18" customHeight="1" thickBot="1" x14ac:dyDescent="0.25">
      <c r="D23" s="87" t="s">
        <v>156</v>
      </c>
      <c r="E23" s="94" t="s">
        <v>170</v>
      </c>
      <c r="G23" s="477" t="str">
        <f>IF(E27&gt;2,"Third Place","")</f>
        <v>Third Place</v>
      </c>
      <c r="H23" s="478"/>
      <c r="I23" s="483" t="str">
        <f>IF($E$27&gt;2,VLOOKUP(3,$AB$4:$AP$17,15,FALSE),"")</f>
        <v>Kristin B II</v>
      </c>
      <c r="J23" s="484"/>
      <c r="K23" s="514">
        <f t="shared" si="47"/>
        <v>176.36485477752831</v>
      </c>
      <c r="L23" s="515"/>
      <c r="M23" s="514">
        <f t="shared" si="48"/>
        <v>347.90493433816209</v>
      </c>
      <c r="N23" s="517"/>
      <c r="P23" s="118">
        <v>3</v>
      </c>
      <c r="Q23" s="108">
        <v>2</v>
      </c>
      <c r="U23" s="430"/>
      <c r="V23" s="430"/>
      <c r="W23" s="430" t="s">
        <v>194</v>
      </c>
      <c r="X23" s="107"/>
      <c r="Y23" s="107"/>
      <c r="Z23" s="429">
        <v>1.698</v>
      </c>
      <c r="AA23" s="148"/>
      <c r="AB23" s="148"/>
      <c r="AK23" s="149" t="s">
        <v>158</v>
      </c>
      <c r="AL23" s="150"/>
      <c r="AM23" s="150"/>
      <c r="AN23" s="152">
        <f>AN22/(AN21+E24)</f>
        <v>1</v>
      </c>
    </row>
    <row r="24" spans="2:43" ht="18" customHeight="1" x14ac:dyDescent="0.2">
      <c r="D24" s="87" t="s">
        <v>159</v>
      </c>
      <c r="E24" s="249">
        <f>VLOOKUP(E23,I36:K38,3,0)</f>
        <v>600</v>
      </c>
      <c r="G24" s="477" t="str">
        <f>IF(E27&gt;3,"Fourth Place","")</f>
        <v>Fourth Place</v>
      </c>
      <c r="H24" s="478"/>
      <c r="I24" s="483" t="str">
        <f>IF($E$27&gt;3,VLOOKUP(4,$AB$4:$AP$17,15,FALSE),"")</f>
        <v>MacGuffin</v>
      </c>
      <c r="J24" s="484"/>
      <c r="K24" s="514">
        <f t="shared" si="47"/>
        <v>165.52214110615932</v>
      </c>
      <c r="L24" s="515"/>
      <c r="M24" s="514">
        <f t="shared" si="48"/>
        <v>385.82647191210071</v>
      </c>
      <c r="N24" s="517"/>
      <c r="P24" s="118">
        <v>4</v>
      </c>
      <c r="Q24" s="108">
        <v>2</v>
      </c>
      <c r="U24" s="430"/>
      <c r="V24" s="430"/>
      <c r="W24" s="430" t="s">
        <v>353</v>
      </c>
      <c r="X24" s="107"/>
      <c r="Y24" s="107"/>
      <c r="Z24" s="429">
        <v>1.3180000000000001</v>
      </c>
      <c r="AA24" s="148"/>
      <c r="AB24" s="148"/>
    </row>
    <row r="25" spans="2:43" ht="18" customHeight="1" x14ac:dyDescent="0.2">
      <c r="D25" s="95"/>
      <c r="E25" s="96"/>
      <c r="G25" s="477" t="str">
        <f>IF(E27&gt;4,"Fifth Place","")</f>
        <v>Fifth Place</v>
      </c>
      <c r="H25" s="478"/>
      <c r="I25" s="483" t="str">
        <f>IF($E$27&gt;4,VLOOKUP(5,$AB$4:$AP$17,15,FALSE),"")</f>
        <v>Outrageous</v>
      </c>
      <c r="J25" s="484"/>
      <c r="K25" s="514">
        <f t="shared" si="47"/>
        <v>40.272018440331522</v>
      </c>
      <c r="L25" s="515"/>
      <c r="M25" s="514">
        <f t="shared" si="48"/>
        <v>447.72047435363856</v>
      </c>
      <c r="N25" s="517"/>
      <c r="P25" s="118">
        <v>5</v>
      </c>
      <c r="Q25" s="108">
        <v>2</v>
      </c>
      <c r="U25" s="430"/>
      <c r="V25" s="430"/>
      <c r="W25" s="430" t="s">
        <v>361</v>
      </c>
      <c r="X25" s="107"/>
      <c r="Y25" s="107"/>
      <c r="Z25" s="429">
        <v>2.1190000000000002</v>
      </c>
      <c r="AA25" s="148"/>
      <c r="AB25" s="148"/>
    </row>
    <row r="26" spans="2:43" ht="18" customHeight="1" x14ac:dyDescent="0.2">
      <c r="D26" s="87" t="s">
        <v>160</v>
      </c>
      <c r="E26" s="23">
        <f>SUM(L4:L17)</f>
        <v>8</v>
      </c>
      <c r="G26" s="477" t="str">
        <f>IF($E$27&gt;5,"Sixth Place","")</f>
        <v>Sixth Place</v>
      </c>
      <c r="H26" s="478"/>
      <c r="I26" s="483" t="str">
        <f>IF($E$27&gt;5,VLOOKUP(6,$AB$4:$AP$17,15,FALSE),"")</f>
        <v>Mirabelle</v>
      </c>
      <c r="J26" s="484"/>
      <c r="K26" s="514">
        <f t="shared" si="47"/>
        <v>95.386046704810724</v>
      </c>
      <c r="L26" s="515"/>
      <c r="M26" s="514">
        <f t="shared" si="48"/>
        <v>467.21982399028639</v>
      </c>
      <c r="N26" s="517"/>
      <c r="P26" s="118">
        <v>6</v>
      </c>
      <c r="Q26" s="108">
        <v>3</v>
      </c>
      <c r="U26" s="430"/>
      <c r="V26" s="430"/>
      <c r="W26" s="430"/>
      <c r="X26" s="107"/>
      <c r="Y26" s="107"/>
      <c r="Z26" s="429"/>
      <c r="AA26" s="148"/>
      <c r="AB26" s="148"/>
    </row>
    <row r="27" spans="2:43" ht="18" customHeight="1" x14ac:dyDescent="0.2">
      <c r="D27" s="87" t="s">
        <v>161</v>
      </c>
      <c r="E27" s="23">
        <f>SUM(O4:O17)</f>
        <v>8</v>
      </c>
      <c r="G27" s="477" t="str">
        <f>IF($E$27&gt;6,"Seventh Place","")</f>
        <v>Seventh Place</v>
      </c>
      <c r="H27" s="478"/>
      <c r="I27" s="483" t="str">
        <f>IF($E$27&gt;6,VLOOKUP(7,$AB$4:$AP$17,15,FALSE),"")</f>
        <v>Grin</v>
      </c>
      <c r="J27" s="484"/>
      <c r="K27" s="514">
        <f t="shared" si="47"/>
        <v>264.92573141503453</v>
      </c>
      <c r="L27" s="515"/>
      <c r="M27" s="514">
        <f t="shared" si="48"/>
        <v>496.72893805069634</v>
      </c>
      <c r="N27" s="517"/>
      <c r="P27" s="118">
        <v>7</v>
      </c>
      <c r="Q27" s="108">
        <v>3</v>
      </c>
      <c r="U27" s="430"/>
      <c r="V27" s="430"/>
      <c r="W27" s="430"/>
      <c r="X27" s="107"/>
      <c r="Y27" s="107"/>
      <c r="Z27" s="429"/>
      <c r="AA27" s="148"/>
      <c r="AB27" s="148"/>
    </row>
    <row r="28" spans="2:43" ht="18" customHeight="1" x14ac:dyDescent="0.2">
      <c r="D28" s="87" t="s">
        <v>162</v>
      </c>
      <c r="E28" s="25">
        <f>VLOOKUP(E27,P22:Q32,2,FALSE)</f>
        <v>3</v>
      </c>
      <c r="G28" s="477" t="str">
        <f>IF(E27&gt;7,"Eighth Place","")</f>
        <v>Eighth Place</v>
      </c>
      <c r="H28" s="478"/>
      <c r="I28" s="483" t="str">
        <f>IF($E$27&gt;7,VLOOKUP(8,$AB$4:$AP$17,15,FALSE),"")</f>
        <v>Lone Gull</v>
      </c>
      <c r="J28" s="484"/>
      <c r="K28" s="514">
        <f t="shared" si="47"/>
        <v>0</v>
      </c>
      <c r="L28" s="515"/>
      <c r="M28" s="514">
        <f t="shared" si="48"/>
        <v>525.79825496015565</v>
      </c>
      <c r="N28" s="517"/>
      <c r="P28" s="118">
        <v>8</v>
      </c>
      <c r="Q28" s="108">
        <v>3</v>
      </c>
      <c r="U28" s="430"/>
      <c r="V28" s="430"/>
      <c r="W28" s="430"/>
      <c r="X28" s="107"/>
      <c r="Y28" s="107"/>
      <c r="Z28" s="429"/>
      <c r="AA28" s="148"/>
      <c r="AB28" s="148"/>
    </row>
    <row r="29" spans="2:43" ht="18" customHeight="1" x14ac:dyDescent="0.2">
      <c r="D29" s="87" t="s">
        <v>163</v>
      </c>
      <c r="E29" s="26">
        <f>VLOOKUP(E28,AA4:AD17,4,FALSE)</f>
        <v>1236.7734141885555</v>
      </c>
      <c r="G29" s="477" t="str">
        <f>IF(E27&gt;8,"Ninth Place","")</f>
        <v/>
      </c>
      <c r="H29" s="478"/>
      <c r="I29" s="483" t="str">
        <f>IF($E$27&gt;8,VLOOKUP(9,$AB$4:$AP$17,15,FALSE),"")</f>
        <v/>
      </c>
      <c r="J29" s="484"/>
      <c r="K29" s="514" t="str">
        <f t="shared" si="47"/>
        <v/>
      </c>
      <c r="L29" s="515"/>
      <c r="M29" s="514" t="str">
        <f t="shared" si="48"/>
        <v/>
      </c>
      <c r="N29" s="517"/>
      <c r="P29" s="118">
        <v>9</v>
      </c>
      <c r="Q29" s="108">
        <v>4</v>
      </c>
      <c r="U29" s="430"/>
      <c r="V29" s="430"/>
      <c r="W29" s="430"/>
      <c r="X29" s="107"/>
      <c r="Y29" s="107"/>
      <c r="Z29" s="429"/>
      <c r="AA29" s="148"/>
      <c r="AB29" s="148"/>
    </row>
    <row r="30" spans="2:43" ht="18" customHeight="1" x14ac:dyDescent="0.2">
      <c r="D30" s="87" t="s">
        <v>153</v>
      </c>
      <c r="E30" s="181">
        <f>SUM(U4:U17)/E27</f>
        <v>211.49934444763207</v>
      </c>
      <c r="G30" s="477" t="str">
        <f>IF(E27&gt;9,"Tenth Place","")</f>
        <v/>
      </c>
      <c r="H30" s="478"/>
      <c r="I30" s="483" t="str">
        <f>IF($E$27&gt;9,VLOOKUP(10,$AB$4:$AP$17,15,FALSE),"")</f>
        <v/>
      </c>
      <c r="J30" s="484"/>
      <c r="K30" s="514" t="str">
        <f t="shared" si="47"/>
        <v/>
      </c>
      <c r="L30" s="515"/>
      <c r="M30" s="514" t="str">
        <f t="shared" si="48"/>
        <v/>
      </c>
      <c r="N30" s="517"/>
      <c r="P30" s="118">
        <v>10</v>
      </c>
      <c r="Q30" s="108">
        <v>4</v>
      </c>
      <c r="U30" s="148"/>
      <c r="V30" s="148"/>
      <c r="W30" s="430"/>
      <c r="X30" s="107"/>
      <c r="Y30" s="88" t="s">
        <v>164</v>
      </c>
      <c r="Z30" s="429">
        <f>SUM(Z22:Z26)</f>
        <v>6.98</v>
      </c>
      <c r="AA30" s="148"/>
      <c r="AB30" s="148"/>
    </row>
    <row r="31" spans="2:43" ht="18" customHeight="1" x14ac:dyDescent="0.2">
      <c r="D31" s="87" t="s">
        <v>155</v>
      </c>
      <c r="E31" s="434">
        <f>E24+E30</f>
        <v>811.4993444476321</v>
      </c>
      <c r="G31" s="477" t="str">
        <f>IF(E27&gt;10,"Eleventh Place","")</f>
        <v/>
      </c>
      <c r="H31" s="478"/>
      <c r="I31" s="483" t="str">
        <f>IF($E$27&gt;10,VLOOKUP(11,$AB$4:$AP$17,15,FALSE),"")</f>
        <v/>
      </c>
      <c r="J31" s="484"/>
      <c r="K31" s="514" t="str">
        <f t="shared" si="47"/>
        <v/>
      </c>
      <c r="L31" s="515"/>
      <c r="M31" s="514" t="str">
        <f t="shared" si="48"/>
        <v/>
      </c>
      <c r="N31" s="517"/>
      <c r="P31" s="118">
        <v>11</v>
      </c>
      <c r="Q31" s="108">
        <v>4</v>
      </c>
      <c r="W31" s="30"/>
    </row>
    <row r="32" spans="2:43" ht="18" customHeight="1" thickBot="1" x14ac:dyDescent="0.25">
      <c r="D32" s="87" t="s">
        <v>158</v>
      </c>
      <c r="E32" s="418">
        <f>E31/(E24+E30)</f>
        <v>1</v>
      </c>
      <c r="G32" s="479" t="str">
        <f>IF(E27&gt;11,"Twelth Place","")</f>
        <v/>
      </c>
      <c r="H32" s="480"/>
      <c r="I32" s="494" t="str">
        <f>IF($E$27&gt;11,VLOOKUP(12,$AB$4:$AP$17,15,FALSE),"")</f>
        <v/>
      </c>
      <c r="J32" s="495"/>
      <c r="K32" s="523" t="str">
        <f t="shared" si="47"/>
        <v/>
      </c>
      <c r="L32" s="525"/>
      <c r="M32" s="523" t="str">
        <f t="shared" si="48"/>
        <v/>
      </c>
      <c r="N32" s="524"/>
      <c r="P32" s="119">
        <v>12</v>
      </c>
      <c r="Q32" s="111">
        <v>5</v>
      </c>
      <c r="U32" s="47" t="s">
        <v>387</v>
      </c>
      <c r="W32" s="30"/>
    </row>
    <row r="33" spans="4:36" ht="18" customHeight="1" x14ac:dyDescent="0.2">
      <c r="V33" s="3" t="s">
        <v>388</v>
      </c>
      <c r="W33" s="53" t="s">
        <v>183</v>
      </c>
      <c r="X33" s="53" t="s">
        <v>389</v>
      </c>
    </row>
    <row r="34" spans="4:36" ht="18" customHeight="1" x14ac:dyDescent="0.2">
      <c r="D34" s="87" t="s">
        <v>352</v>
      </c>
      <c r="E34" s="416">
        <f>_xlfn.MINIFS(Q4:Q17,Q4:Q17,"&gt;0")*86400</f>
        <v>7648.0000000000027</v>
      </c>
      <c r="I34" s="505" t="s">
        <v>165</v>
      </c>
      <c r="J34" s="506"/>
      <c r="K34" s="507"/>
      <c r="U34" s="3"/>
      <c r="V34" s="3" t="s">
        <v>294</v>
      </c>
      <c r="W34" s="442">
        <v>0.54096064814814815</v>
      </c>
      <c r="X34" s="442">
        <v>0.62678240740740743</v>
      </c>
    </row>
    <row r="35" spans="4:36" x14ac:dyDescent="0.2">
      <c r="I35" s="97" t="s">
        <v>166</v>
      </c>
      <c r="J35" s="93" t="s">
        <v>167</v>
      </c>
      <c r="K35" s="98" t="s">
        <v>168</v>
      </c>
    </row>
    <row r="36" spans="4:36" x14ac:dyDescent="0.2">
      <c r="D36" s="88" t="s">
        <v>169</v>
      </c>
      <c r="E36" s="47" t="str">
        <f>IF(E21="Yes","Distance","Time")</f>
        <v>Distance</v>
      </c>
      <c r="I36" s="106" t="s">
        <v>170</v>
      </c>
      <c r="J36" s="107" t="s">
        <v>171</v>
      </c>
      <c r="K36" s="108">
        <v>600</v>
      </c>
      <c r="T36" s="4"/>
    </row>
    <row r="37" spans="4:36" x14ac:dyDescent="0.2">
      <c r="D37" s="2" t="s">
        <v>172</v>
      </c>
      <c r="I37" s="106" t="s">
        <v>157</v>
      </c>
      <c r="J37" s="126" t="s">
        <v>173</v>
      </c>
      <c r="K37" s="108">
        <v>550</v>
      </c>
    </row>
    <row r="38" spans="4:36" x14ac:dyDescent="0.2">
      <c r="D38" s="2"/>
      <c r="I38" s="109" t="s">
        <v>174</v>
      </c>
      <c r="J38" s="110" t="s">
        <v>175</v>
      </c>
      <c r="K38" s="111">
        <v>480</v>
      </c>
    </row>
    <row r="39" spans="4:36" x14ac:dyDescent="0.2">
      <c r="D39" s="2"/>
    </row>
    <row r="41" spans="4:36" x14ac:dyDescent="0.2">
      <c r="AJ41" s="1"/>
    </row>
    <row r="42" spans="4:36" x14ac:dyDescent="0.2">
      <c r="D42" s="2"/>
    </row>
    <row r="43" spans="4:36" x14ac:dyDescent="0.2">
      <c r="D43" s="2"/>
    </row>
    <row r="44" spans="4:36" x14ac:dyDescent="0.2">
      <c r="D44" s="2"/>
    </row>
    <row r="47" spans="4:36" x14ac:dyDescent="0.2">
      <c r="D47" s="202" t="s">
        <v>377</v>
      </c>
    </row>
  </sheetData>
  <mergeCells count="57">
    <mergeCell ref="U2:AJ2"/>
    <mergeCell ref="AK20:AN20"/>
    <mergeCell ref="AK2:AO2"/>
    <mergeCell ref="I25:J25"/>
    <mergeCell ref="I34:K34"/>
    <mergeCell ref="M32:N32"/>
    <mergeCell ref="M27:N27"/>
    <mergeCell ref="M28:N28"/>
    <mergeCell ref="M29:N29"/>
    <mergeCell ref="M30:N30"/>
    <mergeCell ref="M31:N31"/>
    <mergeCell ref="K32:L32"/>
    <mergeCell ref="I31:J31"/>
    <mergeCell ref="K27:L27"/>
    <mergeCell ref="K28:L28"/>
    <mergeCell ref="K29:L29"/>
    <mergeCell ref="K30:L30"/>
    <mergeCell ref="K31:L31"/>
    <mergeCell ref="I32:J32"/>
    <mergeCell ref="I26:J26"/>
    <mergeCell ref="I27:J27"/>
    <mergeCell ref="I28:J28"/>
    <mergeCell ref="I29:J29"/>
    <mergeCell ref="I30:J30"/>
    <mergeCell ref="P20:Q20"/>
    <mergeCell ref="K23:L23"/>
    <mergeCell ref="K24:L24"/>
    <mergeCell ref="K25:L25"/>
    <mergeCell ref="K26:L26"/>
    <mergeCell ref="M20:N20"/>
    <mergeCell ref="M21:N21"/>
    <mergeCell ref="M22:N22"/>
    <mergeCell ref="M23:N23"/>
    <mergeCell ref="M24:N24"/>
    <mergeCell ref="M25:N25"/>
    <mergeCell ref="M26:N26"/>
    <mergeCell ref="K20:L20"/>
    <mergeCell ref="K21:L21"/>
    <mergeCell ref="K22:L22"/>
    <mergeCell ref="G20:H20"/>
    <mergeCell ref="I22:J22"/>
    <mergeCell ref="I23:J23"/>
    <mergeCell ref="I24:J24"/>
    <mergeCell ref="G21:H21"/>
    <mergeCell ref="G22:H22"/>
    <mergeCell ref="G23:H23"/>
    <mergeCell ref="G24:H24"/>
    <mergeCell ref="I20:J20"/>
    <mergeCell ref="I21:J21"/>
    <mergeCell ref="G30:H30"/>
    <mergeCell ref="G31:H31"/>
    <mergeCell ref="G32:H32"/>
    <mergeCell ref="G25:H25"/>
    <mergeCell ref="G26:H26"/>
    <mergeCell ref="G27:H27"/>
    <mergeCell ref="G28:H28"/>
    <mergeCell ref="G29:H29"/>
  </mergeCells>
  <conditionalFormatting sqref="P4:P17">
    <cfRule type="cellIs" dxfId="17" priority="3" operator="equal">
      <formula>1</formula>
    </cfRule>
  </conditionalFormatting>
  <conditionalFormatting sqref="T4:U12 T13 T14:U17">
    <cfRule type="cellIs" dxfId="16" priority="1" operator="equal">
      <formula>"Yes"</formula>
    </cfRule>
  </conditionalFormatting>
  <dataValidations count="2">
    <dataValidation type="list" allowBlank="1" showInputMessage="1" showErrorMessage="1" sqref="E21 E25 K4:K17 T4:T17" xr:uid="{45C7E2C4-9E3C-414B-BB89-395C7ECC2CCD}">
      <formula1>$AT$4:$AT$5</formula1>
    </dataValidation>
    <dataValidation type="list" allowBlank="1" showInputMessage="1" showErrorMessage="1" sqref="E23" xr:uid="{5DC3982A-C9FA-42BE-9D56-CFD67A602F3E}">
      <formula1>$I$36:$I$38</formula1>
    </dataValidation>
  </dataValidations>
  <printOptions horizontalCentered="1"/>
  <pageMargins left="0.7" right="0.7" top="0.75" bottom="0.75" header="0.3" footer="0.3"/>
  <pageSetup paperSize="9" scale="49" fitToWidth="2"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38CAE-110B-7347-B05F-AC04C3B0A12D}">
  <sheetPr>
    <pageSetUpPr fitToPage="1"/>
  </sheetPr>
  <dimension ref="B1:AT44"/>
  <sheetViews>
    <sheetView tabSelected="1" zoomScaleNormal="100" workbookViewId="0">
      <selection activeCell="B3" sqref="B3"/>
    </sheetView>
  </sheetViews>
  <sheetFormatPr baseColWidth="10" defaultColWidth="8.83203125" defaultRowHeight="15" x14ac:dyDescent="0.2"/>
  <cols>
    <col min="1" max="1" width="2.83203125" customWidth="1"/>
    <col min="2" max="2" width="12.33203125" customWidth="1"/>
    <col min="3" max="3" width="16.5" customWidth="1"/>
    <col min="4" max="4" width="32" customWidth="1"/>
    <col min="5" max="14" width="10.83203125" customWidth="1"/>
    <col min="15" max="15" width="10.83203125" style="1" customWidth="1"/>
    <col min="16" max="22" width="10.83203125" customWidth="1"/>
    <col min="23" max="26" width="10.83203125" style="1" customWidth="1"/>
    <col min="27" max="41" width="10.83203125" customWidth="1"/>
    <col min="42" max="42" width="16.83203125" customWidth="1"/>
    <col min="43" max="43" width="3.6640625" customWidth="1"/>
    <col min="44" max="44" width="17.5" customWidth="1"/>
    <col min="46" max="46" width="0" hidden="1" customWidth="1"/>
  </cols>
  <sheetData>
    <row r="1" spans="2:46" ht="15" customHeight="1" thickBot="1" x14ac:dyDescent="0.25"/>
    <row r="2" spans="2:46" ht="15" customHeight="1" thickBot="1" x14ac:dyDescent="0.25">
      <c r="B2" s="28" t="s">
        <v>396</v>
      </c>
      <c r="C2" s="17"/>
      <c r="D2" s="17"/>
      <c r="E2" s="17"/>
      <c r="F2" s="17"/>
      <c r="G2" s="17"/>
      <c r="H2" s="17"/>
      <c r="I2" s="17"/>
      <c r="L2" s="17"/>
      <c r="M2" s="17"/>
      <c r="N2" s="17"/>
      <c r="O2" s="29"/>
      <c r="P2" s="17"/>
      <c r="Q2" s="17"/>
      <c r="R2" s="17"/>
      <c r="S2" s="124"/>
      <c r="T2" s="17"/>
      <c r="U2" s="518" t="s">
        <v>0</v>
      </c>
      <c r="V2" s="519"/>
      <c r="W2" s="519"/>
      <c r="X2" s="519"/>
      <c r="Y2" s="519"/>
      <c r="Z2" s="519"/>
      <c r="AA2" s="519"/>
      <c r="AB2" s="519"/>
      <c r="AC2" s="519"/>
      <c r="AD2" s="519"/>
      <c r="AE2" s="519"/>
      <c r="AF2" s="519"/>
      <c r="AG2" s="519"/>
      <c r="AH2" s="519"/>
      <c r="AI2" s="519"/>
      <c r="AJ2" s="520"/>
      <c r="AK2" s="522" t="s">
        <v>1</v>
      </c>
      <c r="AL2" s="503"/>
      <c r="AM2" s="503"/>
      <c r="AN2" s="503"/>
      <c r="AO2" s="504"/>
    </row>
    <row r="3" spans="2:46" s="22" customFormat="1" ht="80" x14ac:dyDescent="0.2">
      <c r="B3" s="315" t="s">
        <v>9</v>
      </c>
      <c r="C3" s="316" t="s">
        <v>10</v>
      </c>
      <c r="D3" s="316" t="s">
        <v>104</v>
      </c>
      <c r="E3" s="317" t="s">
        <v>105</v>
      </c>
      <c r="F3" s="317" t="s">
        <v>106</v>
      </c>
      <c r="G3" s="318" t="s">
        <v>107</v>
      </c>
      <c r="H3" s="319" t="s">
        <v>108</v>
      </c>
      <c r="I3" s="318" t="s">
        <v>109</v>
      </c>
      <c r="J3" s="319" t="s">
        <v>110</v>
      </c>
      <c r="K3" s="319" t="s">
        <v>111</v>
      </c>
      <c r="L3" s="319" t="s">
        <v>112</v>
      </c>
      <c r="M3" s="319" t="s">
        <v>113</v>
      </c>
      <c r="N3" s="319" t="s">
        <v>114</v>
      </c>
      <c r="O3" s="317" t="s">
        <v>115</v>
      </c>
      <c r="P3" s="320" t="s">
        <v>116</v>
      </c>
      <c r="Q3" s="319" t="s">
        <v>117</v>
      </c>
      <c r="R3" s="319" t="s">
        <v>118</v>
      </c>
      <c r="S3" s="319" t="s">
        <v>119</v>
      </c>
      <c r="T3" s="317" t="s">
        <v>120</v>
      </c>
      <c r="U3" s="317" t="s">
        <v>279</v>
      </c>
      <c r="V3" s="321" t="s">
        <v>121</v>
      </c>
      <c r="W3" s="322" t="s">
        <v>122</v>
      </c>
      <c r="X3" s="321" t="s">
        <v>123</v>
      </c>
      <c r="Y3" s="323" t="s">
        <v>124</v>
      </c>
      <c r="Z3" s="324" t="s">
        <v>125</v>
      </c>
      <c r="AA3" s="323" t="s">
        <v>126</v>
      </c>
      <c r="AB3" s="325" t="s">
        <v>127</v>
      </c>
      <c r="AC3" s="325" t="s">
        <v>128</v>
      </c>
      <c r="AD3" s="326" t="s">
        <v>129</v>
      </c>
      <c r="AE3" s="326" t="s">
        <v>130</v>
      </c>
      <c r="AF3" s="326" t="s">
        <v>131</v>
      </c>
      <c r="AG3" s="326" t="s">
        <v>132</v>
      </c>
      <c r="AH3" s="326" t="s">
        <v>133</v>
      </c>
      <c r="AI3" s="326" t="s">
        <v>134</v>
      </c>
      <c r="AJ3" s="325" t="s">
        <v>135</v>
      </c>
      <c r="AK3" s="323" t="s">
        <v>279</v>
      </c>
      <c r="AL3" s="323" t="s">
        <v>124</v>
      </c>
      <c r="AM3" s="323" t="s">
        <v>126</v>
      </c>
      <c r="AN3" s="323" t="s">
        <v>136</v>
      </c>
      <c r="AO3" s="323" t="s">
        <v>137</v>
      </c>
      <c r="AP3" s="327" t="str">
        <f>B3</f>
        <v>Yacht Name</v>
      </c>
      <c r="AQ3" s="79"/>
      <c r="AR3" s="79" t="s">
        <v>138</v>
      </c>
    </row>
    <row r="4" spans="2:46" ht="30" customHeight="1" x14ac:dyDescent="0.2">
      <c r="B4" s="347" t="str">
        <f>'2026 Applebee Finish Summary'!I5</f>
        <v>Estella</v>
      </c>
      <c r="C4" s="422" t="str">
        <f>'2026 Applebee Finish Summary'!J5</f>
        <v>Saffier 33</v>
      </c>
      <c r="D4" s="422" t="str">
        <f>'2026 Applebee Finish Summary'!K5</f>
        <v>Doug Kilgren</v>
      </c>
      <c r="E4" s="162">
        <f>'Handicaps-Roster'!G6</f>
        <v>90</v>
      </c>
      <c r="F4" s="162">
        <f>'Handicaps-Roster'!H6</f>
        <v>110</v>
      </c>
      <c r="G4" s="162">
        <f>'Race #3'!AH4</f>
        <v>90</v>
      </c>
      <c r="H4" s="61">
        <f t="shared" ref="H4:H15" si="0">$E$31/($E$24+G4)</f>
        <v>1.0296882677828592</v>
      </c>
      <c r="I4" s="162">
        <f>'Race #3'!AI4</f>
        <v>110</v>
      </c>
      <c r="J4" s="61">
        <f t="shared" ref="J4:J15" si="1">$E$31/($E$24+I4)</f>
        <v>0.99478358073937234</v>
      </c>
      <c r="K4" s="61" t="str">
        <f>IF(N4&gt;0,"Yes","No")</f>
        <v>Yes</v>
      </c>
      <c r="L4" s="328">
        <f t="shared" ref="L4:L14" si="2">IF(K4="Yes",1,0)</f>
        <v>1</v>
      </c>
      <c r="M4" s="329">
        <v>0.54166666666666663</v>
      </c>
      <c r="N4" s="329">
        <v>0.58616898148148144</v>
      </c>
      <c r="O4" s="59">
        <f>IF(N4&gt;0,1,0)</f>
        <v>1</v>
      </c>
      <c r="P4" s="330">
        <f t="shared" ref="P4:P17" si="3">IF($N4=0,"",RANK($N4,$N$4:$N$17,1)-COUNTIF($N$4:$N$17,0))</f>
        <v>3</v>
      </c>
      <c r="Q4" s="163">
        <f>N4-M4</f>
        <v>4.4502314814814814E-2</v>
      </c>
      <c r="R4" s="164">
        <f>HOUR(Q4)*3600+MINUTE(Q4)*60+SECOND(Q4)</f>
        <v>3845</v>
      </c>
      <c r="S4" s="164">
        <f t="shared" ref="S4:S15" si="4">IF(N4&gt;0,($I4*$E$20),0)</f>
        <v>697.11925779069497</v>
      </c>
      <c r="T4" s="331" t="s">
        <v>140</v>
      </c>
      <c r="U4" s="332">
        <f>IF(O4=1,IF(T4="No",I4,G4),"")</f>
        <v>110</v>
      </c>
      <c r="V4" s="333">
        <f t="shared" ref="V4:V17" si="5">IF(T4="Yes",((I4-G4)*$E$20),0)</f>
        <v>0</v>
      </c>
      <c r="W4" s="333">
        <f t="shared" ref="W4:W7" si="6">IF(T4="Yes",(-(J4-H4)*R4),0)</f>
        <v>0</v>
      </c>
      <c r="X4" s="164">
        <f>R4-S4+V4</f>
        <v>3147.880742209305</v>
      </c>
      <c r="Y4" s="59">
        <f>IF(T4="Yes",R4*H4,R4*J4)</f>
        <v>3824.9428679428866</v>
      </c>
      <c r="Z4" s="77">
        <f t="shared" ref="Z4:Z17" si="7">IF($X4=0,"",RANK($X4,$X$4:$X$17,1)-COUNTIF($X$4:$X$17,0))</f>
        <v>3</v>
      </c>
      <c r="AA4" s="77">
        <f t="shared" ref="AA4:AA17" si="8">IF($Y4=0,"",RANK($Y4,$Y$4:$Y$17,1)-COUNTIF($Y$4:$Y$17,0))</f>
        <v>3</v>
      </c>
      <c r="AB4" s="169">
        <f t="shared" ref="AB4:AB15" si="9">IF($E$21="Yes",Z4,AA4)</f>
        <v>3</v>
      </c>
      <c r="AC4" s="173">
        <f t="shared" ref="AC4:AC15" si="10">IF($E$21="Yes",IF(Z4=1,5,IF(Z4=2,4,IF(Z4=3,3,IF(Z4=4,2,IF(Z4=5,1,0))))),IF(AA4=1,5,IF(AA4=2,4,IF(AA4=3,3,IF(AA4=4,2,IF(AA4=5,1,0))))))+L4</f>
        <v>4</v>
      </c>
      <c r="AD4" s="59">
        <f t="shared" ref="AD4:AD15" si="11">Y4/$E$20</f>
        <v>603.5462523401452</v>
      </c>
      <c r="AE4" s="59">
        <f t="shared" ref="AE4:AE15" si="12">IF(AD4&gt;0,((Y4/$E$20)-$E$29),0)</f>
        <v>6.6711957379750402</v>
      </c>
      <c r="AF4" s="59">
        <f>IF(AE4&gt;30,30,IF(AE4&lt;-30,-30,(AE4)))</f>
        <v>6.6711957379750402</v>
      </c>
      <c r="AG4" s="60">
        <f t="shared" ref="AG4:AG15" si="13">AF4*$E$22</f>
        <v>0.66711957379750408</v>
      </c>
      <c r="AH4" s="165">
        <f>MIN(MAX(IF(T4="Yes",G4+AG4,G4),'Handicaps-Roster'!L6),'Handicaps-Roster'!M6)</f>
        <v>90</v>
      </c>
      <c r="AI4" s="165">
        <f>MIN(MAX(IF(T4="No",I4+AG4,I4),'Handicaps-Roster'!N6),'Handicaps-Roster'!O6)</f>
        <v>110.66711957379751</v>
      </c>
      <c r="AJ4" s="174">
        <f>AC4+'Race #3'!AJ4</f>
        <v>4</v>
      </c>
      <c r="AK4" s="176">
        <f>IF(O4=1,IF(T4="Yes",E4,F4),"")</f>
        <v>110</v>
      </c>
      <c r="AL4" s="288">
        <f t="shared" ref="AL4:AL15" si="14">IFERROR((($AN$22/($E$24+AK4))*R4),"")</f>
        <v>3892.7909604519782</v>
      </c>
      <c r="AM4" s="156">
        <f t="shared" ref="AM4:AM17" si="15">IF($Y4=0,"",RANK($AL4,$AL$4:$AL$17,1)-COUNTIF($AL$4:$AL$17,0))</f>
        <v>3</v>
      </c>
      <c r="AN4" s="156">
        <f t="shared" ref="AN4:AN14" si="16">IF(AM4=1,5,IF(AM4=2,4,IF(AM4=3,3,IF(AM4=4,2,IF(AM4=5,1,0)))))+O4</f>
        <v>4</v>
      </c>
      <c r="AO4" s="156">
        <f>'Race #3'!AO4+'Race #4'!AN4</f>
        <v>4</v>
      </c>
      <c r="AP4" s="158" t="str">
        <f t="shared" ref="AP4:AP13" si="17">B4</f>
        <v>Estella</v>
      </c>
      <c r="AQ4" s="81"/>
      <c r="AT4" s="1" t="s">
        <v>139</v>
      </c>
    </row>
    <row r="5" spans="2:46" ht="30" customHeight="1" x14ac:dyDescent="0.2">
      <c r="B5" s="65" t="str">
        <f>'2026 Applebee Finish Summary'!I6</f>
        <v>Exit Strategy</v>
      </c>
      <c r="C5" s="423" t="str">
        <f>'2026 Applebee Finish Summary'!J6</f>
        <v>J Boats J-105</v>
      </c>
      <c r="D5" s="423" t="str">
        <f>'2026 Applebee Finish Summary'!K6</f>
        <v>John Stamos/John Woods</v>
      </c>
      <c r="E5" s="46">
        <f>'Handicaps-Roster'!G7</f>
        <v>87</v>
      </c>
      <c r="F5" s="46">
        <f>'Handicaps-Roster'!H7</f>
        <v>110</v>
      </c>
      <c r="G5" s="46">
        <f>'Race #3'!AH5</f>
        <v>78</v>
      </c>
      <c r="H5" s="58">
        <f t="shared" si="0"/>
        <v>1.0518321014986194</v>
      </c>
      <c r="I5" s="46">
        <f>'Race #3'!AI5</f>
        <v>96.5</v>
      </c>
      <c r="J5" s="58">
        <f t="shared" si="1"/>
        <v>1.0180785995424626</v>
      </c>
      <c r="K5" s="58" t="str">
        <f t="shared" ref="K5:K17" si="18">IF(N5&gt;0,"Yes","No")</f>
        <v>Yes</v>
      </c>
      <c r="L5" s="334">
        <f t="shared" si="2"/>
        <v>1</v>
      </c>
      <c r="M5" s="329">
        <v>0.54166666666666663</v>
      </c>
      <c r="N5" s="329">
        <v>0.58373842592592595</v>
      </c>
      <c r="O5" s="34">
        <f t="shared" ref="O5:O17" si="19">IF(N5&gt;0,1,0)</f>
        <v>1</v>
      </c>
      <c r="P5" s="330">
        <f t="shared" si="3"/>
        <v>1</v>
      </c>
      <c r="Q5" s="160">
        <f>N5-M5</f>
        <v>4.2071759259259323E-2</v>
      </c>
      <c r="R5" s="161">
        <f>HOUR(Q5)*3600+MINUTE(Q5)*60+SECOND(Q5)</f>
        <v>3635</v>
      </c>
      <c r="S5" s="161">
        <f t="shared" si="4"/>
        <v>611.56371251638234</v>
      </c>
      <c r="T5" s="331" t="s">
        <v>140</v>
      </c>
      <c r="U5" s="335">
        <f t="shared" ref="U5:U14" si="20">IF(O5=1,IF(T5="No",I5,G5),"")</f>
        <v>96.5</v>
      </c>
      <c r="V5" s="336">
        <f t="shared" si="5"/>
        <v>0</v>
      </c>
      <c r="W5" s="336">
        <f t="shared" si="6"/>
        <v>0</v>
      </c>
      <c r="X5" s="161">
        <f t="shared" ref="X5:X14" si="21">R5-S5+V5</f>
        <v>3023.4362874836179</v>
      </c>
      <c r="Y5" s="34">
        <f t="shared" ref="Y5:Y14" si="22">IF(T5="Yes",R5*H5,R5*J5)</f>
        <v>3700.7157093368514</v>
      </c>
      <c r="Z5" s="62">
        <f t="shared" si="7"/>
        <v>1</v>
      </c>
      <c r="AA5" s="62">
        <f t="shared" si="8"/>
        <v>1</v>
      </c>
      <c r="AB5" s="169">
        <f t="shared" si="9"/>
        <v>1</v>
      </c>
      <c r="AC5" s="173">
        <f t="shared" si="10"/>
        <v>6</v>
      </c>
      <c r="AD5" s="34">
        <f t="shared" si="11"/>
        <v>583.9441723603569</v>
      </c>
      <c r="AE5" s="34">
        <f t="shared" si="12"/>
        <v>-12.93088424181326</v>
      </c>
      <c r="AF5" s="34">
        <f>IF(AE5&gt;30,30,IF(AE5&lt;-30,-30,(AE5)))</f>
        <v>-12.93088424181326</v>
      </c>
      <c r="AG5" s="78">
        <f t="shared" si="13"/>
        <v>-1.2930884241813261</v>
      </c>
      <c r="AH5" s="166">
        <f>MIN(MAX(IF(T5="Yes",G5+AG5,G5),'Handicaps-Roster'!L7),'Handicaps-Roster'!M7)</f>
        <v>78</v>
      </c>
      <c r="AI5" s="166">
        <f>MIN(MAX(IF(T5="No",I5+AG5,I5),'Handicaps-Roster'!N7),'Handicaps-Roster'!O7)</f>
        <v>95.20691157581868</v>
      </c>
      <c r="AJ5" s="174">
        <f>AC5+'Race #3'!AJ5</f>
        <v>6</v>
      </c>
      <c r="AK5" s="175">
        <f t="shared" ref="AK5:AK14" si="23">IF(O5=1,IF(T5="Yes",E5,F5),"")</f>
        <v>110</v>
      </c>
      <c r="AL5" s="155">
        <f t="shared" si="14"/>
        <v>3680.1807909604527</v>
      </c>
      <c r="AM5" s="156">
        <f t="shared" si="15"/>
        <v>1</v>
      </c>
      <c r="AN5" s="156">
        <f t="shared" si="16"/>
        <v>6</v>
      </c>
      <c r="AO5" s="156">
        <f>'Race #3'!AO5+'Race #4'!AN5</f>
        <v>6</v>
      </c>
      <c r="AP5" s="120" t="str">
        <f t="shared" si="17"/>
        <v>Exit Strategy</v>
      </c>
      <c r="AQ5" s="81"/>
      <c r="AT5" s="1" t="s">
        <v>140</v>
      </c>
    </row>
    <row r="6" spans="2:46" ht="30" customHeight="1" x14ac:dyDescent="0.2">
      <c r="B6" s="65" t="str">
        <f>'2026 Applebee Finish Summary'!I7</f>
        <v>Magoo</v>
      </c>
      <c r="C6" s="423" t="str">
        <f>'2026 Applebee Finish Summary'!J7</f>
        <v>Catalina 28 MK II</v>
      </c>
      <c r="D6" s="423" t="str">
        <f>'2026 Applebee Finish Summary'!K7</f>
        <v>Steve Luebkeman</v>
      </c>
      <c r="E6" s="46">
        <f>'Handicaps-Roster'!G8</f>
        <v>205</v>
      </c>
      <c r="F6" s="46">
        <f>'Handicaps-Roster'!H8</f>
        <v>208</v>
      </c>
      <c r="G6" s="46">
        <f>'Race #3'!AH6</f>
        <v>195</v>
      </c>
      <c r="H6" s="58">
        <f t="shared" si="0"/>
        <v>0.86951453723885874</v>
      </c>
      <c r="I6" s="46">
        <f>'Race #3'!AI6</f>
        <v>213</v>
      </c>
      <c r="J6" s="58">
        <f t="shared" si="1"/>
        <v>0.84692974406382349</v>
      </c>
      <c r="K6" s="58" t="str">
        <f t="shared" si="18"/>
        <v>No</v>
      </c>
      <c r="L6" s="334">
        <f t="shared" si="2"/>
        <v>0</v>
      </c>
      <c r="M6" s="329"/>
      <c r="N6" s="329"/>
      <c r="O6" s="34">
        <f t="shared" si="19"/>
        <v>0</v>
      </c>
      <c r="P6" s="337" t="str">
        <f t="shared" si="3"/>
        <v/>
      </c>
      <c r="Q6" s="160">
        <f t="shared" ref="Q6:Q14" si="24">N6-M6</f>
        <v>0</v>
      </c>
      <c r="R6" s="161">
        <f t="shared" ref="R6:R14" si="25">HOUR(Q6)*3600+MINUTE(Q6)*60+SECOND(Q6)</f>
        <v>0</v>
      </c>
      <c r="S6" s="161">
        <f t="shared" si="4"/>
        <v>0</v>
      </c>
      <c r="T6" s="331" t="s">
        <v>140</v>
      </c>
      <c r="U6" s="335" t="str">
        <f t="shared" si="20"/>
        <v/>
      </c>
      <c r="V6" s="336">
        <f t="shared" si="5"/>
        <v>0</v>
      </c>
      <c r="W6" s="336">
        <f t="shared" si="6"/>
        <v>0</v>
      </c>
      <c r="X6" s="161">
        <f t="shared" si="21"/>
        <v>0</v>
      </c>
      <c r="Y6" s="34">
        <f t="shared" si="22"/>
        <v>0</v>
      </c>
      <c r="Z6" s="62" t="str">
        <f t="shared" si="7"/>
        <v/>
      </c>
      <c r="AA6" s="62" t="str">
        <f t="shared" si="8"/>
        <v/>
      </c>
      <c r="AB6" s="169" t="str">
        <f t="shared" si="9"/>
        <v/>
      </c>
      <c r="AC6" s="173">
        <f t="shared" si="10"/>
        <v>0</v>
      </c>
      <c r="AD6" s="34">
        <f t="shared" si="11"/>
        <v>0</v>
      </c>
      <c r="AE6" s="34">
        <f t="shared" si="12"/>
        <v>0</v>
      </c>
      <c r="AF6" s="34">
        <f t="shared" ref="AF6:AF14" si="26">IF(AE6&gt;30,30,IF(AE6&lt;-30,-30,(AE6)))</f>
        <v>0</v>
      </c>
      <c r="AG6" s="78">
        <f t="shared" si="13"/>
        <v>0</v>
      </c>
      <c r="AH6" s="166">
        <f>MIN(MAX(IF(T6="Yes",G6+AG6,G6),'Handicaps-Roster'!L8),'Handicaps-Roster'!M8)</f>
        <v>195</v>
      </c>
      <c r="AI6" s="166">
        <f>MIN(MAX(IF(T6="No",I6+AG6,I6),'Handicaps-Roster'!N8),'Handicaps-Roster'!O8)</f>
        <v>213</v>
      </c>
      <c r="AJ6" s="174">
        <f>AC6+'Race #3'!AJ6</f>
        <v>1</v>
      </c>
      <c r="AK6" s="175" t="str">
        <f t="shared" si="23"/>
        <v/>
      </c>
      <c r="AL6" s="194" t="str">
        <f t="shared" si="14"/>
        <v/>
      </c>
      <c r="AM6" s="156" t="str">
        <f t="shared" si="15"/>
        <v/>
      </c>
      <c r="AN6" s="156">
        <f t="shared" si="16"/>
        <v>0</v>
      </c>
      <c r="AO6" s="156">
        <f>'Race #3'!AO6+'Race #4'!AN6</f>
        <v>1</v>
      </c>
      <c r="AP6" s="120" t="str">
        <f t="shared" si="17"/>
        <v>Magoo</v>
      </c>
      <c r="AQ6" s="81"/>
    </row>
    <row r="7" spans="2:46" ht="30" customHeight="1" x14ac:dyDescent="0.2">
      <c r="B7" s="347" t="str">
        <f>'2026 Applebee Finish Summary'!I8</f>
        <v>Feng Shui</v>
      </c>
      <c r="C7" s="422" t="str">
        <f>'2026 Applebee Finish Summary'!J8</f>
        <v>C&amp;C 34</v>
      </c>
      <c r="D7" s="422" t="str">
        <f>'2026 Applebee Finish Summary'!K8</f>
        <v>Mike Finazzo</v>
      </c>
      <c r="E7" s="162">
        <f>'Handicaps-Roster'!G9</f>
        <v>157</v>
      </c>
      <c r="F7" s="162">
        <f>'Handicaps-Roster'!H9</f>
        <v>169</v>
      </c>
      <c r="G7" s="162">
        <f>'Race #3'!AH7</f>
        <v>175.1</v>
      </c>
      <c r="H7" s="61">
        <f t="shared" si="0"/>
        <v>0.89592781657186638</v>
      </c>
      <c r="I7" s="162">
        <f>'Race #3'!AI7</f>
        <v>188.1227776756605</v>
      </c>
      <c r="J7" s="61">
        <f t="shared" si="1"/>
        <v>0.87846475565176807</v>
      </c>
      <c r="K7" s="61" t="str">
        <f t="shared" si="18"/>
        <v>No</v>
      </c>
      <c r="L7" s="328">
        <f t="shared" si="2"/>
        <v>0</v>
      </c>
      <c r="M7" s="329"/>
      <c r="N7" s="329"/>
      <c r="O7" s="59">
        <f t="shared" si="19"/>
        <v>0</v>
      </c>
      <c r="P7" s="337" t="str">
        <f t="shared" si="3"/>
        <v/>
      </c>
      <c r="Q7" s="163">
        <f>N7-M7</f>
        <v>0</v>
      </c>
      <c r="R7" s="164">
        <f>HOUR(Q7)*3600+MINUTE(Q7)*60+SECOND(Q7)</f>
        <v>0</v>
      </c>
      <c r="S7" s="164">
        <f t="shared" si="4"/>
        <v>0</v>
      </c>
      <c r="T7" s="331" t="s">
        <v>140</v>
      </c>
      <c r="U7" s="332" t="str">
        <f t="shared" si="20"/>
        <v/>
      </c>
      <c r="V7" s="333">
        <f t="shared" si="5"/>
        <v>0</v>
      </c>
      <c r="W7" s="333">
        <f t="shared" si="6"/>
        <v>0</v>
      </c>
      <c r="X7" s="164">
        <f t="shared" si="21"/>
        <v>0</v>
      </c>
      <c r="Y7" s="59">
        <f t="shared" si="22"/>
        <v>0</v>
      </c>
      <c r="Z7" s="77" t="str">
        <f t="shared" si="7"/>
        <v/>
      </c>
      <c r="AA7" s="77" t="str">
        <f t="shared" si="8"/>
        <v/>
      </c>
      <c r="AB7" s="169" t="str">
        <f t="shared" si="9"/>
        <v/>
      </c>
      <c r="AC7" s="173">
        <f t="shared" si="10"/>
        <v>0</v>
      </c>
      <c r="AD7" s="59">
        <f t="shared" si="11"/>
        <v>0</v>
      </c>
      <c r="AE7" s="59">
        <f t="shared" si="12"/>
        <v>0</v>
      </c>
      <c r="AF7" s="59">
        <f>IF(AE7&gt;30,30,IF(AE7&lt;-30,-30,(AE7)))</f>
        <v>0</v>
      </c>
      <c r="AG7" s="60">
        <f t="shared" si="13"/>
        <v>0</v>
      </c>
      <c r="AH7" s="165">
        <f>MIN(MAX(IF(T7="Yes",G7+AG7,G7),'Handicaps-Roster'!L9),'Handicaps-Roster'!M9)</f>
        <v>175.1</v>
      </c>
      <c r="AI7" s="165">
        <f>MIN(MAX(IF(T7="No",I7+AG7,I7),'Handicaps-Roster'!N9),'Handicaps-Roster'!O9)</f>
        <v>188.1227776756605</v>
      </c>
      <c r="AJ7" s="174">
        <f>AC7+'Race #3'!AJ7</f>
        <v>10</v>
      </c>
      <c r="AK7" s="176" t="str">
        <f t="shared" si="23"/>
        <v/>
      </c>
      <c r="AL7" s="195" t="str">
        <f t="shared" si="14"/>
        <v/>
      </c>
      <c r="AM7" s="156" t="str">
        <f t="shared" si="15"/>
        <v/>
      </c>
      <c r="AN7" s="156">
        <f t="shared" si="16"/>
        <v>0</v>
      </c>
      <c r="AO7" s="156">
        <f>'Race #3'!AO7+'Race #4'!AN7</f>
        <v>5</v>
      </c>
      <c r="AP7" s="158" t="str">
        <f t="shared" si="17"/>
        <v>Feng Shui</v>
      </c>
      <c r="AQ7" s="81"/>
    </row>
    <row r="8" spans="2:46" ht="30" customHeight="1" x14ac:dyDescent="0.2">
      <c r="B8" s="65" t="str">
        <f>'2026 Applebee Finish Summary'!I9</f>
        <v>Grin</v>
      </c>
      <c r="C8" s="423" t="str">
        <f>'2026 Applebee Finish Summary'!J9</f>
        <v>Ericson 32-200</v>
      </c>
      <c r="D8" s="423" t="str">
        <f>'2026 Applebee Finish Summary'!K9</f>
        <v>John Woomer</v>
      </c>
      <c r="E8" s="46">
        <f>'Handicaps-Roster'!G10</f>
        <v>165</v>
      </c>
      <c r="F8" s="46">
        <f>'Handicaps-Roster'!H10</f>
        <v>177</v>
      </c>
      <c r="G8" s="46">
        <f>'Race #3'!AH8</f>
        <v>198</v>
      </c>
      <c r="H8" s="58">
        <f t="shared" si="0"/>
        <v>0.86566712778204968</v>
      </c>
      <c r="I8" s="46">
        <f>'Race #3'!AI8</f>
        <v>210.16583579676276</v>
      </c>
      <c r="J8" s="58">
        <f t="shared" si="1"/>
        <v>0.85040765884717628</v>
      </c>
      <c r="K8" s="58" t="str">
        <f t="shared" si="18"/>
        <v>No</v>
      </c>
      <c r="L8" s="334">
        <f t="shared" si="2"/>
        <v>0</v>
      </c>
      <c r="M8" s="329"/>
      <c r="N8" s="329"/>
      <c r="O8" s="34">
        <f t="shared" si="19"/>
        <v>0</v>
      </c>
      <c r="P8" s="337" t="str">
        <f t="shared" si="3"/>
        <v/>
      </c>
      <c r="Q8" s="160">
        <f t="shared" si="24"/>
        <v>0</v>
      </c>
      <c r="R8" s="161">
        <f t="shared" si="25"/>
        <v>0</v>
      </c>
      <c r="S8" s="161">
        <f t="shared" si="4"/>
        <v>0</v>
      </c>
      <c r="T8" s="331" t="s">
        <v>140</v>
      </c>
      <c r="U8" s="335" t="str">
        <f t="shared" si="20"/>
        <v/>
      </c>
      <c r="V8" s="333">
        <f t="shared" si="5"/>
        <v>0</v>
      </c>
      <c r="W8" s="336">
        <f>IF(T8="Yes",(-(J8-H8)*R8),0)</f>
        <v>0</v>
      </c>
      <c r="X8" s="161">
        <f>R8-S8+V8</f>
        <v>0</v>
      </c>
      <c r="Y8" s="34">
        <f>IF(T8="Yes",R8*H8,R8*J8)</f>
        <v>0</v>
      </c>
      <c r="Z8" s="62" t="str">
        <f t="shared" si="7"/>
        <v/>
      </c>
      <c r="AA8" s="62" t="str">
        <f t="shared" si="8"/>
        <v/>
      </c>
      <c r="AB8" s="169" t="str">
        <f t="shared" si="9"/>
        <v/>
      </c>
      <c r="AC8" s="173">
        <f t="shared" si="10"/>
        <v>0</v>
      </c>
      <c r="AD8" s="34">
        <f t="shared" si="11"/>
        <v>0</v>
      </c>
      <c r="AE8" s="34">
        <f t="shared" si="12"/>
        <v>0</v>
      </c>
      <c r="AF8" s="34">
        <f t="shared" si="26"/>
        <v>0</v>
      </c>
      <c r="AG8" s="78">
        <f t="shared" si="13"/>
        <v>0</v>
      </c>
      <c r="AH8" s="166">
        <f>MIN(MAX(IF(T8="Yes",G8+AG8,G8),'Handicaps-Roster'!L10),'Handicaps-Roster'!M10)</f>
        <v>198</v>
      </c>
      <c r="AI8" s="166">
        <f>MIN(MAX(IF(T8="No",I8+AG8,I8),'Handicaps-Roster'!N10),'Handicaps-Roster'!O10)</f>
        <v>210.16583579676276</v>
      </c>
      <c r="AJ8" s="174">
        <f>AC8+'Race #3'!AJ8</f>
        <v>2</v>
      </c>
      <c r="AK8" s="175" t="str">
        <f t="shared" si="23"/>
        <v/>
      </c>
      <c r="AL8" s="194" t="str">
        <f t="shared" si="14"/>
        <v/>
      </c>
      <c r="AM8" s="156" t="str">
        <f t="shared" si="15"/>
        <v/>
      </c>
      <c r="AN8" s="156">
        <f t="shared" si="16"/>
        <v>0</v>
      </c>
      <c r="AO8" s="156">
        <f>'Race #3'!AO8+'Race #4'!AN8</f>
        <v>2</v>
      </c>
      <c r="AP8" s="120" t="str">
        <f t="shared" si="17"/>
        <v>Grin</v>
      </c>
      <c r="AQ8" s="81"/>
    </row>
    <row r="9" spans="2:46" ht="30" customHeight="1" x14ac:dyDescent="0.2">
      <c r="B9" s="347" t="str">
        <f>'2026 Applebee Finish Summary'!I10</f>
        <v>Kristin B II</v>
      </c>
      <c r="C9" s="422" t="str">
        <f>'2026 Applebee Finish Summary'!J10</f>
        <v>Catalina 36 TM</v>
      </c>
      <c r="D9" s="422" t="str">
        <f>'2026 Applebee Finish Summary'!K10</f>
        <v>Mike Cann</v>
      </c>
      <c r="E9" s="162">
        <f>'Handicaps-Roster'!G11</f>
        <v>154</v>
      </c>
      <c r="F9" s="162">
        <f>'Handicaps-Roster'!H11</f>
        <v>163</v>
      </c>
      <c r="G9" s="162">
        <f>'Race #3'!AH9</f>
        <v>179.3</v>
      </c>
      <c r="H9" s="61">
        <f t="shared" si="0"/>
        <v>0.89022040442322115</v>
      </c>
      <c r="I9" s="162">
        <f>'Race #3'!AI9</f>
        <v>193.0432875675497</v>
      </c>
      <c r="J9" s="61">
        <f t="shared" si="1"/>
        <v>0.87204244285301413</v>
      </c>
      <c r="K9" s="61" t="str">
        <f t="shared" si="18"/>
        <v>No</v>
      </c>
      <c r="L9" s="328">
        <f t="shared" si="2"/>
        <v>0</v>
      </c>
      <c r="M9" s="329"/>
      <c r="N9" s="329"/>
      <c r="O9" s="59">
        <f t="shared" si="19"/>
        <v>0</v>
      </c>
      <c r="P9" s="337" t="str">
        <f t="shared" si="3"/>
        <v/>
      </c>
      <c r="Q9" s="163">
        <f t="shared" si="24"/>
        <v>0</v>
      </c>
      <c r="R9" s="164">
        <f t="shared" si="25"/>
        <v>0</v>
      </c>
      <c r="S9" s="164">
        <f t="shared" si="4"/>
        <v>0</v>
      </c>
      <c r="T9" s="331" t="s">
        <v>140</v>
      </c>
      <c r="U9" s="332" t="str">
        <f t="shared" si="20"/>
        <v/>
      </c>
      <c r="V9" s="333">
        <f t="shared" si="5"/>
        <v>0</v>
      </c>
      <c r="W9" s="333">
        <f t="shared" ref="W9:W17" si="27">IF(T9="Yes",(-(J9-H9)*R9),0)</f>
        <v>0</v>
      </c>
      <c r="X9" s="164">
        <f>R9-S9+V9</f>
        <v>0</v>
      </c>
      <c r="Y9" s="59">
        <f t="shared" si="22"/>
        <v>0</v>
      </c>
      <c r="Z9" s="77" t="str">
        <f t="shared" si="7"/>
        <v/>
      </c>
      <c r="AA9" s="77" t="str">
        <f t="shared" si="8"/>
        <v/>
      </c>
      <c r="AB9" s="169" t="str">
        <f t="shared" si="9"/>
        <v/>
      </c>
      <c r="AC9" s="173">
        <f t="shared" si="10"/>
        <v>0</v>
      </c>
      <c r="AD9" s="59">
        <f t="shared" si="11"/>
        <v>0</v>
      </c>
      <c r="AE9" s="59">
        <f t="shared" si="12"/>
        <v>0</v>
      </c>
      <c r="AF9" s="59">
        <f t="shared" si="26"/>
        <v>0</v>
      </c>
      <c r="AG9" s="60">
        <f t="shared" si="13"/>
        <v>0</v>
      </c>
      <c r="AH9" s="165">
        <f>MIN(MAX(IF(T9="Yes",G9+AG9,G9),'Handicaps-Roster'!L11),'Handicaps-Roster'!M11)</f>
        <v>179.3</v>
      </c>
      <c r="AI9" s="165">
        <f>MIN(MAX(IF(T9="No",I9+AG9,I9),'Handicaps-Roster'!N11),'Handicaps-Roster'!O11)</f>
        <v>193.0432875675497</v>
      </c>
      <c r="AJ9" s="174">
        <f>AC9+'Race #3'!AJ9</f>
        <v>7</v>
      </c>
      <c r="AK9" s="176" t="str">
        <f t="shared" si="23"/>
        <v/>
      </c>
      <c r="AL9" s="195" t="str">
        <f t="shared" si="14"/>
        <v/>
      </c>
      <c r="AM9" s="156" t="str">
        <f t="shared" si="15"/>
        <v/>
      </c>
      <c r="AN9" s="156">
        <f t="shared" si="16"/>
        <v>0</v>
      </c>
      <c r="AO9" s="156">
        <f>'Race #3'!AO9+'Race #4'!AN9</f>
        <v>3</v>
      </c>
      <c r="AP9" s="158" t="str">
        <f t="shared" si="17"/>
        <v>Kristin B II</v>
      </c>
      <c r="AQ9" s="81"/>
    </row>
    <row r="10" spans="2:46" ht="30" customHeight="1" x14ac:dyDescent="0.2">
      <c r="B10" s="65" t="str">
        <f>'2026 Applebee Finish Summary'!I11</f>
        <v>MacGuffin</v>
      </c>
      <c r="C10" s="423" t="str">
        <f>'2026 Applebee Finish Summary'!J11</f>
        <v>Shock Harbor 25</v>
      </c>
      <c r="D10" s="423" t="str">
        <f>'2026 Applebee Finish Summary'!K11</f>
        <v>Darryl Rosenbaum</v>
      </c>
      <c r="E10" s="46">
        <f>'Handicaps-Roster'!G12</f>
        <v>204</v>
      </c>
      <c r="F10" s="46">
        <f>'Handicaps-Roster'!H12</f>
        <v>204</v>
      </c>
      <c r="G10" s="46">
        <f>'Race #3'!AH10</f>
        <v>204</v>
      </c>
      <c r="H10" s="58">
        <f t="shared" si="0"/>
        <v>0.85807355648571593</v>
      </c>
      <c r="I10" s="46">
        <f>'Race #3'!AI10</f>
        <v>205.64990519776811</v>
      </c>
      <c r="J10" s="58">
        <f t="shared" si="1"/>
        <v>0.85600874176003627</v>
      </c>
      <c r="K10" s="58" t="str">
        <f t="shared" si="18"/>
        <v>No</v>
      </c>
      <c r="L10" s="334">
        <f t="shared" si="2"/>
        <v>0</v>
      </c>
      <c r="M10" s="329"/>
      <c r="N10" s="329"/>
      <c r="O10" s="34">
        <f t="shared" si="19"/>
        <v>0</v>
      </c>
      <c r="P10" s="337" t="str">
        <f t="shared" si="3"/>
        <v/>
      </c>
      <c r="Q10" s="160">
        <f t="shared" si="24"/>
        <v>0</v>
      </c>
      <c r="R10" s="161">
        <f t="shared" si="25"/>
        <v>0</v>
      </c>
      <c r="S10" s="161">
        <f t="shared" si="4"/>
        <v>0</v>
      </c>
      <c r="T10" s="331" t="s">
        <v>140</v>
      </c>
      <c r="U10" s="335" t="str">
        <f t="shared" si="20"/>
        <v/>
      </c>
      <c r="V10" s="336">
        <f t="shared" si="5"/>
        <v>0</v>
      </c>
      <c r="W10" s="336">
        <f t="shared" si="27"/>
        <v>0</v>
      </c>
      <c r="X10" s="161">
        <f t="shared" si="21"/>
        <v>0</v>
      </c>
      <c r="Y10" s="34">
        <f t="shared" si="22"/>
        <v>0</v>
      </c>
      <c r="Z10" s="62" t="str">
        <f t="shared" si="7"/>
        <v/>
      </c>
      <c r="AA10" s="62" t="str">
        <f t="shared" si="8"/>
        <v/>
      </c>
      <c r="AB10" s="169" t="str">
        <f t="shared" si="9"/>
        <v/>
      </c>
      <c r="AC10" s="173">
        <f t="shared" si="10"/>
        <v>0</v>
      </c>
      <c r="AD10" s="34">
        <f t="shared" si="11"/>
        <v>0</v>
      </c>
      <c r="AE10" s="34">
        <f t="shared" si="12"/>
        <v>0</v>
      </c>
      <c r="AF10" s="34">
        <f t="shared" si="26"/>
        <v>0</v>
      </c>
      <c r="AG10" s="78">
        <f t="shared" si="13"/>
        <v>0</v>
      </c>
      <c r="AH10" s="166">
        <f>MIN(MAX(IF(T10="Yes",G10+AG10,G10),'Handicaps-Roster'!L12),'Handicaps-Roster'!M12)</f>
        <v>204</v>
      </c>
      <c r="AI10" s="166">
        <f>MIN(MAX(IF(T10="No",I10+AG10,I10),'Handicaps-Roster'!N12),'Handicaps-Roster'!O12)</f>
        <v>205.64990519776811</v>
      </c>
      <c r="AJ10" s="174">
        <f>AC10+'Race #3'!AJ10</f>
        <v>3</v>
      </c>
      <c r="AK10" s="175" t="str">
        <f t="shared" si="23"/>
        <v/>
      </c>
      <c r="AL10" s="194" t="str">
        <f t="shared" si="14"/>
        <v/>
      </c>
      <c r="AM10" s="156" t="str">
        <f t="shared" si="15"/>
        <v/>
      </c>
      <c r="AN10" s="156">
        <f t="shared" si="16"/>
        <v>0</v>
      </c>
      <c r="AO10" s="156">
        <f>'Race #3'!AO10+'Race #4'!AN10</f>
        <v>3</v>
      </c>
      <c r="AP10" s="120" t="str">
        <f t="shared" si="17"/>
        <v>MacGuffin</v>
      </c>
      <c r="AQ10" s="81"/>
    </row>
    <row r="11" spans="2:46" ht="30" customHeight="1" x14ac:dyDescent="0.2">
      <c r="B11" s="347" t="str">
        <f>'2026 Applebee Finish Summary'!I12</f>
        <v>Mirabelle</v>
      </c>
      <c r="C11" s="422" t="str">
        <f>'2026 Applebee Finish Summary'!J12</f>
        <v>Cape Dory 32</v>
      </c>
      <c r="D11" s="422" t="str">
        <f>'2026 Applebee Finish Summary'!K12</f>
        <v>Campbell McLeod</v>
      </c>
      <c r="E11" s="162">
        <f>'Handicaps-Roster'!G13</f>
        <v>204</v>
      </c>
      <c r="F11" s="162">
        <f>'Handicaps-Roster'!H13</f>
        <v>216</v>
      </c>
      <c r="G11" s="162">
        <f>'Race #3'!AH11</f>
        <v>233.5</v>
      </c>
      <c r="H11" s="61">
        <f t="shared" si="0"/>
        <v>0.8225960933934543</v>
      </c>
      <c r="I11" s="162">
        <f>'Race #3'!AI11</f>
        <v>245.27641500889698</v>
      </c>
      <c r="J11" s="61">
        <f t="shared" si="1"/>
        <v>0.80923948509897414</v>
      </c>
      <c r="K11" s="61" t="str">
        <f t="shared" si="18"/>
        <v>No</v>
      </c>
      <c r="L11" s="328">
        <f t="shared" si="2"/>
        <v>0</v>
      </c>
      <c r="M11" s="329"/>
      <c r="N11" s="329"/>
      <c r="O11" s="59">
        <f t="shared" si="19"/>
        <v>0</v>
      </c>
      <c r="P11" s="337" t="str">
        <f t="shared" si="3"/>
        <v/>
      </c>
      <c r="Q11" s="163">
        <f t="shared" si="24"/>
        <v>0</v>
      </c>
      <c r="R11" s="164">
        <f t="shared" si="25"/>
        <v>0</v>
      </c>
      <c r="S11" s="164">
        <f t="shared" si="4"/>
        <v>0</v>
      </c>
      <c r="T11" s="331" t="s">
        <v>140</v>
      </c>
      <c r="U11" s="332" t="str">
        <f t="shared" si="20"/>
        <v/>
      </c>
      <c r="V11" s="333">
        <f t="shared" si="5"/>
        <v>0</v>
      </c>
      <c r="W11" s="333">
        <f t="shared" si="27"/>
        <v>0</v>
      </c>
      <c r="X11" s="164">
        <f t="shared" si="21"/>
        <v>0</v>
      </c>
      <c r="Y11" s="59">
        <f t="shared" si="22"/>
        <v>0</v>
      </c>
      <c r="Z11" s="77" t="str">
        <f t="shared" si="7"/>
        <v/>
      </c>
      <c r="AA11" s="77" t="str">
        <f t="shared" si="8"/>
        <v/>
      </c>
      <c r="AB11" s="169" t="str">
        <f t="shared" si="9"/>
        <v/>
      </c>
      <c r="AC11" s="173">
        <f t="shared" si="10"/>
        <v>0</v>
      </c>
      <c r="AD11" s="59">
        <f t="shared" si="11"/>
        <v>0</v>
      </c>
      <c r="AE11" s="59">
        <f t="shared" si="12"/>
        <v>0</v>
      </c>
      <c r="AF11" s="59">
        <f t="shared" si="26"/>
        <v>0</v>
      </c>
      <c r="AG11" s="60">
        <f t="shared" si="13"/>
        <v>0</v>
      </c>
      <c r="AH11" s="165">
        <f>MIN(MAX(IF(T11="Yes",G11+AG11,G11),'Handicaps-Roster'!L13),'Handicaps-Roster'!M13)</f>
        <v>233.5</v>
      </c>
      <c r="AI11" s="165">
        <f>MIN(MAX(IF(T11="No",I11+AG11,I11),'Handicaps-Roster'!N13),'Handicaps-Roster'!O13)</f>
        <v>245.27641500889698</v>
      </c>
      <c r="AJ11" s="174">
        <f>AC11+'Race #3'!AJ11</f>
        <v>1</v>
      </c>
      <c r="AK11" s="176" t="str">
        <f t="shared" si="23"/>
        <v/>
      </c>
      <c r="AL11" s="195" t="str">
        <f t="shared" si="14"/>
        <v/>
      </c>
      <c r="AM11" s="156" t="str">
        <f t="shared" si="15"/>
        <v/>
      </c>
      <c r="AN11" s="156">
        <f t="shared" si="16"/>
        <v>0</v>
      </c>
      <c r="AO11" s="156">
        <f>'Race #3'!AO11+'Race #4'!AN11</f>
        <v>1</v>
      </c>
      <c r="AP11" s="158" t="str">
        <f t="shared" si="17"/>
        <v>Mirabelle</v>
      </c>
      <c r="AQ11" s="81"/>
    </row>
    <row r="12" spans="2:46" ht="30" customHeight="1" x14ac:dyDescent="0.2">
      <c r="B12" s="65" t="str">
        <f>'2026 Applebee Finish Summary'!I13</f>
        <v>Outrageous</v>
      </c>
      <c r="C12" s="423" t="str">
        <f>'2026 Applebee Finish Summary'!J13</f>
        <v>Tanzer 22</v>
      </c>
      <c r="D12" s="423" t="str">
        <f>'2026 Applebee Finish Summary'!K13</f>
        <v>Don Webb</v>
      </c>
      <c r="E12" s="46">
        <f>'Handicaps-Roster'!G14</f>
        <v>254</v>
      </c>
      <c r="F12" s="46">
        <f>'Handicaps-Roster'!H14</f>
        <v>261</v>
      </c>
      <c r="G12" s="46">
        <f>'Race #3'!AH12</f>
        <v>252.6</v>
      </c>
      <c r="H12" s="58">
        <f t="shared" si="0"/>
        <v>0.80114975789821141</v>
      </c>
      <c r="I12" s="46">
        <f>'Race #3'!AI12</f>
        <v>254.87354205906888</v>
      </c>
      <c r="J12" s="58">
        <f t="shared" si="1"/>
        <v>0.79867117135787835</v>
      </c>
      <c r="K12" s="58" t="str">
        <f t="shared" si="18"/>
        <v>No</v>
      </c>
      <c r="L12" s="444">
        <v>1</v>
      </c>
      <c r="M12" s="329"/>
      <c r="N12" s="329"/>
      <c r="O12" s="34">
        <f t="shared" si="19"/>
        <v>0</v>
      </c>
      <c r="P12" s="337" t="str">
        <f t="shared" si="3"/>
        <v/>
      </c>
      <c r="Q12" s="160">
        <f t="shared" si="24"/>
        <v>0</v>
      </c>
      <c r="R12" s="161">
        <f t="shared" si="25"/>
        <v>0</v>
      </c>
      <c r="S12" s="161">
        <f t="shared" si="4"/>
        <v>0</v>
      </c>
      <c r="T12" s="331" t="s">
        <v>140</v>
      </c>
      <c r="U12" s="335" t="str">
        <f t="shared" si="20"/>
        <v/>
      </c>
      <c r="V12" s="336">
        <f t="shared" si="5"/>
        <v>0</v>
      </c>
      <c r="W12" s="336">
        <f t="shared" si="27"/>
        <v>0</v>
      </c>
      <c r="X12" s="161">
        <f t="shared" si="21"/>
        <v>0</v>
      </c>
      <c r="Y12" s="34">
        <f t="shared" si="22"/>
        <v>0</v>
      </c>
      <c r="Z12" s="62" t="str">
        <f t="shared" si="7"/>
        <v/>
      </c>
      <c r="AA12" s="62" t="str">
        <f t="shared" si="8"/>
        <v/>
      </c>
      <c r="AB12" s="169" t="str">
        <f t="shared" si="9"/>
        <v/>
      </c>
      <c r="AC12" s="173">
        <f t="shared" si="10"/>
        <v>1</v>
      </c>
      <c r="AD12" s="34">
        <f t="shared" si="11"/>
        <v>0</v>
      </c>
      <c r="AE12" s="34">
        <f t="shared" si="12"/>
        <v>0</v>
      </c>
      <c r="AF12" s="34">
        <f t="shared" si="26"/>
        <v>0</v>
      </c>
      <c r="AG12" s="78">
        <f t="shared" si="13"/>
        <v>0</v>
      </c>
      <c r="AH12" s="166">
        <f>MIN(MAX(IF(T12="Yes",G12+AG12,G12),'Handicaps-Roster'!L14),'Handicaps-Roster'!M14)</f>
        <v>252.6</v>
      </c>
      <c r="AI12" s="166">
        <f>MIN(MAX(IF(T12="No",I12+AG12,I12),'Handicaps-Roster'!N14),'Handicaps-Roster'!O14)</f>
        <v>254.87354205906888</v>
      </c>
      <c r="AJ12" s="174">
        <f>AC12+'Race #3'!AJ12</f>
        <v>7</v>
      </c>
      <c r="AK12" s="175" t="str">
        <f t="shared" si="23"/>
        <v/>
      </c>
      <c r="AL12" s="194" t="str">
        <f t="shared" si="14"/>
        <v/>
      </c>
      <c r="AM12" s="156" t="str">
        <f t="shared" si="15"/>
        <v/>
      </c>
      <c r="AN12" s="156">
        <f t="shared" si="16"/>
        <v>0</v>
      </c>
      <c r="AO12" s="156">
        <f>'Race #3'!AO12+'Race #4'!AN12</f>
        <v>10</v>
      </c>
      <c r="AP12" s="120" t="str">
        <f t="shared" si="17"/>
        <v>Outrageous</v>
      </c>
      <c r="AQ12" s="81"/>
      <c r="AR12" t="s">
        <v>393</v>
      </c>
    </row>
    <row r="13" spans="2:46" ht="30" customHeight="1" x14ac:dyDescent="0.2">
      <c r="B13" s="347" t="str">
        <f>'2026 Applebee Finish Summary'!I14</f>
        <v>Paradox</v>
      </c>
      <c r="C13" s="422" t="str">
        <f>'2026 Applebee Finish Summary'!J14</f>
        <v>J 92</v>
      </c>
      <c r="D13" s="422" t="str">
        <f>'2026 Applebee Finish Summary'!K14</f>
        <v>Glenn VanOtteren/Ted Standiford</v>
      </c>
      <c r="E13" s="162">
        <f>'Handicaps-Roster'!G15</f>
        <v>111</v>
      </c>
      <c r="F13" s="162">
        <f>'Handicaps-Roster'!H15</f>
        <v>132</v>
      </c>
      <c r="G13" s="162">
        <f>'Race #3'!AH13</f>
        <v>94.35</v>
      </c>
      <c r="H13" s="61">
        <f t="shared" si="0"/>
        <v>1.0218896363475749</v>
      </c>
      <c r="I13" s="162">
        <f>'Race #3'!AI13</f>
        <v>114.26693790868902</v>
      </c>
      <c r="J13" s="61">
        <f t="shared" si="1"/>
        <v>0.98764086506594806</v>
      </c>
      <c r="K13" s="61" t="str">
        <f t="shared" si="18"/>
        <v>Yes</v>
      </c>
      <c r="L13" s="328">
        <f t="shared" si="2"/>
        <v>1</v>
      </c>
      <c r="M13" s="329">
        <v>0.54166666666666663</v>
      </c>
      <c r="N13" s="329">
        <v>0.58599537037037042</v>
      </c>
      <c r="O13" s="59">
        <f t="shared" si="19"/>
        <v>1</v>
      </c>
      <c r="P13" s="337">
        <f t="shared" si="3"/>
        <v>2</v>
      </c>
      <c r="Q13" s="163">
        <f t="shared" si="24"/>
        <v>4.4328703703703787E-2</v>
      </c>
      <c r="R13" s="164">
        <f t="shared" si="25"/>
        <v>3830</v>
      </c>
      <c r="S13" s="164">
        <f t="shared" si="4"/>
        <v>724.16075404473372</v>
      </c>
      <c r="T13" s="331" t="s">
        <v>140</v>
      </c>
      <c r="U13" s="165">
        <f t="shared" si="20"/>
        <v>114.26693790868902</v>
      </c>
      <c r="V13" s="333">
        <f t="shared" si="5"/>
        <v>0</v>
      </c>
      <c r="W13" s="333">
        <f t="shared" si="27"/>
        <v>0</v>
      </c>
      <c r="X13" s="164">
        <f t="shared" si="21"/>
        <v>3105.8392459552661</v>
      </c>
      <c r="Y13" s="59">
        <f t="shared" si="22"/>
        <v>3782.664513202581</v>
      </c>
      <c r="Z13" s="77">
        <f t="shared" si="7"/>
        <v>2</v>
      </c>
      <c r="AA13" s="77">
        <f t="shared" si="8"/>
        <v>2</v>
      </c>
      <c r="AB13" s="169">
        <f t="shared" si="9"/>
        <v>2</v>
      </c>
      <c r="AC13" s="173">
        <f t="shared" si="10"/>
        <v>5</v>
      </c>
      <c r="AD13" s="59">
        <f t="shared" si="11"/>
        <v>596.87505660217016</v>
      </c>
      <c r="AE13" s="59">
        <f t="shared" si="12"/>
        <v>0</v>
      </c>
      <c r="AF13" s="59">
        <f t="shared" si="26"/>
        <v>0</v>
      </c>
      <c r="AG13" s="60">
        <f t="shared" si="13"/>
        <v>0</v>
      </c>
      <c r="AH13" s="165">
        <f>MIN(MAX(IF(T13="Yes",G13+AG13,G13),'Handicaps-Roster'!L15),'Handicaps-Roster'!M15)</f>
        <v>94.35</v>
      </c>
      <c r="AI13" s="165">
        <f>MIN(MAX(IF(T13="No",I13+AG13,I13),'Handicaps-Roster'!N15),'Handicaps-Roster'!O15)</f>
        <v>114.26693790868902</v>
      </c>
      <c r="AJ13" s="174">
        <f>AC13+'Race #3'!AJ13</f>
        <v>17</v>
      </c>
      <c r="AK13" s="176">
        <f t="shared" si="23"/>
        <v>132</v>
      </c>
      <c r="AL13" s="195">
        <f t="shared" si="14"/>
        <v>3738.2135076252725</v>
      </c>
      <c r="AM13" s="156">
        <f t="shared" si="15"/>
        <v>2</v>
      </c>
      <c r="AN13" s="156">
        <f t="shared" si="16"/>
        <v>5</v>
      </c>
      <c r="AO13" s="156">
        <f>'Race #3'!AO13+'Race #4'!AN13</f>
        <v>17</v>
      </c>
      <c r="AP13" s="158" t="str">
        <f t="shared" si="17"/>
        <v>Paradox</v>
      </c>
      <c r="AQ13" s="81"/>
    </row>
    <row r="14" spans="2:46" ht="30" customHeight="1" x14ac:dyDescent="0.2">
      <c r="B14" s="65" t="str">
        <f>'2026 Applebee Finish Summary'!I15</f>
        <v>Pegasus</v>
      </c>
      <c r="C14" s="423" t="str">
        <f>'2026 Applebee Finish Summary'!J15</f>
        <v>Catalina 320</v>
      </c>
      <c r="D14" s="423" t="str">
        <f>'2026 Applebee Finish Summary'!K15</f>
        <v>Bill Allen</v>
      </c>
      <c r="E14" s="46">
        <f>'Handicaps-Roster'!G16</f>
        <v>162</v>
      </c>
      <c r="F14" s="46">
        <f>'Handicaps-Roster'!H16</f>
        <v>171</v>
      </c>
      <c r="G14" s="46">
        <f>'Race #3'!AH14</f>
        <v>137.69999999999999</v>
      </c>
      <c r="H14" s="58">
        <f t="shared" si="0"/>
        <v>0.95017372937709177</v>
      </c>
      <c r="I14" s="46">
        <f>'Race #3'!AI14</f>
        <v>146.67969019901307</v>
      </c>
      <c r="J14" s="58">
        <f t="shared" si="1"/>
        <v>0.93655869468155617</v>
      </c>
      <c r="K14" s="58" t="str">
        <f t="shared" si="18"/>
        <v>No</v>
      </c>
      <c r="L14" s="334">
        <f t="shared" si="2"/>
        <v>0</v>
      </c>
      <c r="M14" s="329"/>
      <c r="N14" s="329"/>
      <c r="O14" s="34">
        <f t="shared" si="19"/>
        <v>0</v>
      </c>
      <c r="P14" s="337" t="str">
        <f t="shared" si="3"/>
        <v/>
      </c>
      <c r="Q14" s="160">
        <f t="shared" si="24"/>
        <v>0</v>
      </c>
      <c r="R14" s="161">
        <f t="shared" si="25"/>
        <v>0</v>
      </c>
      <c r="S14" s="161">
        <f t="shared" si="4"/>
        <v>0</v>
      </c>
      <c r="T14" s="331" t="s">
        <v>140</v>
      </c>
      <c r="U14" s="335" t="str">
        <f t="shared" si="20"/>
        <v/>
      </c>
      <c r="V14" s="336">
        <f t="shared" si="5"/>
        <v>0</v>
      </c>
      <c r="W14" s="336">
        <f t="shared" si="27"/>
        <v>0</v>
      </c>
      <c r="X14" s="161">
        <f t="shared" si="21"/>
        <v>0</v>
      </c>
      <c r="Y14" s="34">
        <f t="shared" si="22"/>
        <v>0</v>
      </c>
      <c r="Z14" s="62" t="str">
        <f t="shared" si="7"/>
        <v/>
      </c>
      <c r="AA14" s="62" t="str">
        <f t="shared" si="8"/>
        <v/>
      </c>
      <c r="AB14" s="169" t="str">
        <f t="shared" si="9"/>
        <v/>
      </c>
      <c r="AC14" s="173">
        <f t="shared" si="10"/>
        <v>0</v>
      </c>
      <c r="AD14" s="34">
        <f t="shared" si="11"/>
        <v>0</v>
      </c>
      <c r="AE14" s="34">
        <f t="shared" si="12"/>
        <v>0</v>
      </c>
      <c r="AF14" s="34">
        <f t="shared" si="26"/>
        <v>0</v>
      </c>
      <c r="AG14" s="78">
        <f t="shared" si="13"/>
        <v>0</v>
      </c>
      <c r="AH14" s="166">
        <f>MIN(MAX(IF(T14="Yes",G14+AG14,G14),'Handicaps-Roster'!L16),'Handicaps-Roster'!M16)</f>
        <v>137.69999999999999</v>
      </c>
      <c r="AI14" s="166">
        <f>MIN(MAX(IF(T14="No",I14+AG14,I14),'Handicaps-Roster'!N16),'Handicaps-Roster'!O16)</f>
        <v>146.67969019901307</v>
      </c>
      <c r="AJ14" s="174">
        <f>AC14+'Race #3'!AJ14</f>
        <v>0</v>
      </c>
      <c r="AK14" s="175" t="str">
        <f t="shared" si="23"/>
        <v/>
      </c>
      <c r="AL14" s="194" t="str">
        <f t="shared" si="14"/>
        <v/>
      </c>
      <c r="AM14" s="156" t="str">
        <f t="shared" si="15"/>
        <v/>
      </c>
      <c r="AN14" s="156">
        <f t="shared" si="16"/>
        <v>0</v>
      </c>
      <c r="AO14" s="156">
        <f>'Race #3'!AO14+'Race #4'!AN14</f>
        <v>0</v>
      </c>
      <c r="AP14" s="120" t="str">
        <f>B14</f>
        <v>Pegasus</v>
      </c>
      <c r="AQ14" s="81"/>
    </row>
    <row r="15" spans="2:46" ht="30" customHeight="1" x14ac:dyDescent="0.2">
      <c r="B15" s="348" t="str">
        <f>'2026 Applebee Finish Summary'!I16</f>
        <v>Triton</v>
      </c>
      <c r="C15" s="424" t="str">
        <f>'2026 Applebee Finish Summary'!J16</f>
        <v>Hans Christian 43</v>
      </c>
      <c r="D15" s="424" t="str">
        <f>'2026 Applebee Finish Summary'!K16</f>
        <v>Alex Parks</v>
      </c>
      <c r="E15" s="46">
        <f>'Handicaps-Roster'!G17</f>
        <v>162</v>
      </c>
      <c r="F15" s="46">
        <f>'Handicaps-Roster'!H17</f>
        <v>177</v>
      </c>
      <c r="G15" s="46">
        <f>'Race #3'!AH15</f>
        <v>194.4</v>
      </c>
      <c r="H15" s="58">
        <f t="shared" si="0"/>
        <v>0.87028812668480082</v>
      </c>
      <c r="I15" s="46">
        <f>'Race #3'!AI15</f>
        <v>212.4</v>
      </c>
      <c r="J15" s="58">
        <f t="shared" si="1"/>
        <v>0.84766365198762228</v>
      </c>
      <c r="K15" s="412" t="str">
        <f t="shared" si="18"/>
        <v>No</v>
      </c>
      <c r="L15" s="334">
        <f>IF(K15="Yes",1,0)</f>
        <v>0</v>
      </c>
      <c r="M15" s="329"/>
      <c r="N15" s="329"/>
      <c r="O15" s="34">
        <f t="shared" si="19"/>
        <v>0</v>
      </c>
      <c r="P15" s="337" t="str">
        <f t="shared" si="3"/>
        <v/>
      </c>
      <c r="Q15" s="160">
        <f>N15-M15</f>
        <v>0</v>
      </c>
      <c r="R15" s="161">
        <f>HOUR(Q15)*3600+MINUTE(Q15)*60+SECOND(Q15)</f>
        <v>0</v>
      </c>
      <c r="S15" s="161">
        <f t="shared" si="4"/>
        <v>0</v>
      </c>
      <c r="T15" s="331" t="s">
        <v>140</v>
      </c>
      <c r="U15" s="335" t="str">
        <f>IF(O15=1,IF(T15="No",I15,G15),"")</f>
        <v/>
      </c>
      <c r="V15" s="336">
        <f t="shared" si="5"/>
        <v>0</v>
      </c>
      <c r="W15" s="336">
        <f t="shared" si="27"/>
        <v>0</v>
      </c>
      <c r="X15" s="161">
        <f>R15-S15+V15</f>
        <v>0</v>
      </c>
      <c r="Y15" s="34">
        <f>IF(T15="Yes",R15*H15,R15*J15)</f>
        <v>0</v>
      </c>
      <c r="Z15" s="62" t="str">
        <f t="shared" si="7"/>
        <v/>
      </c>
      <c r="AA15" s="62" t="str">
        <f t="shared" si="8"/>
        <v/>
      </c>
      <c r="AB15" s="169" t="str">
        <f t="shared" si="9"/>
        <v/>
      </c>
      <c r="AC15" s="173">
        <f t="shared" si="10"/>
        <v>0</v>
      </c>
      <c r="AD15" s="34">
        <f t="shared" si="11"/>
        <v>0</v>
      </c>
      <c r="AE15" s="34">
        <f t="shared" si="12"/>
        <v>0</v>
      </c>
      <c r="AF15" s="34">
        <f>IF(AE15&gt;30,30,IF(AE15&lt;-30,-30,(AE15)))</f>
        <v>0</v>
      </c>
      <c r="AG15" s="78">
        <f t="shared" si="13"/>
        <v>0</v>
      </c>
      <c r="AH15" s="166">
        <f>MIN(MAX(IF(T15="Yes",G15+AG15,G15),'Handicaps-Roster'!L17),'Handicaps-Roster'!M17)</f>
        <v>194.4</v>
      </c>
      <c r="AI15" s="166">
        <f>MIN(MAX(IF(T15="No",I15+AG15,I15),'Handicaps-Roster'!N17),'Handicaps-Roster'!O17)</f>
        <v>212.4</v>
      </c>
      <c r="AJ15" s="174">
        <f>AC15+'Race #3'!AJ15</f>
        <v>0</v>
      </c>
      <c r="AK15" s="175" t="str">
        <f>IF(O15=1,IF(T15="Yes",E15,F15),"")</f>
        <v/>
      </c>
      <c r="AL15" s="194" t="str">
        <f t="shared" si="14"/>
        <v/>
      </c>
      <c r="AM15" s="156" t="str">
        <f t="shared" si="15"/>
        <v/>
      </c>
      <c r="AN15" s="156">
        <f>IF(AM15=1,5,IF(AM15=2,4,IF(AM15=3,3,IF(AM15=4,2,IF(AM15=5,1,0)))))+O15</f>
        <v>0</v>
      </c>
      <c r="AO15" s="156">
        <f>'Race #3'!AO15+'Race #4'!AN15</f>
        <v>0</v>
      </c>
      <c r="AP15" s="120" t="str">
        <f>B15</f>
        <v>Triton</v>
      </c>
      <c r="AQ15" s="81"/>
    </row>
    <row r="16" spans="2:46" ht="30" customHeight="1" x14ac:dyDescent="0.2">
      <c r="B16" s="349" t="str">
        <f>'2026 Applebee Finish Summary'!I17</f>
        <v>Lone Gull</v>
      </c>
      <c r="C16" s="425" t="str">
        <f>'2026 Applebee Finish Summary'!J17</f>
        <v>Cal 20</v>
      </c>
      <c r="D16" s="425" t="str">
        <f>'2026 Applebee Finish Summary'!K17</f>
        <v>Kevin Savage</v>
      </c>
      <c r="E16" s="162">
        <f>'Handicaps-Roster'!G18</f>
        <v>280</v>
      </c>
      <c r="F16" s="162">
        <f>'Handicaps-Roster'!H18</f>
        <v>288</v>
      </c>
      <c r="G16" s="162">
        <f>'Race #3'!AH16</f>
        <v>280</v>
      </c>
      <c r="H16" s="61">
        <f t="shared" ref="H16:H17" si="28">$E$31/($E$24+G16)</f>
        <v>0.77226620083714426</v>
      </c>
      <c r="I16" s="162">
        <f>'Race #3'!AI16</f>
        <v>287.80979099165478</v>
      </c>
      <c r="J16" s="61">
        <f t="shared" ref="J16:J17" si="29">$E$31/($E$24+I16)</f>
        <v>0.76441108139321556</v>
      </c>
      <c r="K16" s="414" t="str">
        <f t="shared" si="18"/>
        <v>No</v>
      </c>
      <c r="L16" s="328">
        <f t="shared" ref="L16:L17" si="30">IF(K16="Yes",1,0)</f>
        <v>0</v>
      </c>
      <c r="M16" s="329"/>
      <c r="N16" s="329"/>
      <c r="O16" s="59">
        <f t="shared" si="19"/>
        <v>0</v>
      </c>
      <c r="P16" s="337" t="str">
        <f t="shared" si="3"/>
        <v/>
      </c>
      <c r="Q16" s="163">
        <f t="shared" ref="Q16:Q17" si="31">N16-M16</f>
        <v>0</v>
      </c>
      <c r="R16" s="164">
        <f t="shared" ref="R16:R17" si="32">HOUR(Q16)*3600+MINUTE(Q16)*60+SECOND(Q16)</f>
        <v>0</v>
      </c>
      <c r="S16" s="164">
        <f t="shared" ref="S16:S17" si="33">IF(N16&gt;0,($I16*$E$20),0)</f>
        <v>0</v>
      </c>
      <c r="T16" s="331" t="s">
        <v>140</v>
      </c>
      <c r="U16" s="332" t="str">
        <f t="shared" ref="U16:U17" si="34">IF(O16=1,IF(T16="No",I16,G16),"")</f>
        <v/>
      </c>
      <c r="V16" s="333">
        <f t="shared" si="5"/>
        <v>0</v>
      </c>
      <c r="W16" s="333">
        <f t="shared" si="27"/>
        <v>0</v>
      </c>
      <c r="X16" s="164">
        <f t="shared" ref="X16:X17" si="35">R16-S16+V16</f>
        <v>0</v>
      </c>
      <c r="Y16" s="59">
        <f t="shared" ref="Y16:Y17" si="36">IF(T16="Yes",R16*H16,R16*J16)</f>
        <v>0</v>
      </c>
      <c r="Z16" s="77" t="str">
        <f t="shared" si="7"/>
        <v/>
      </c>
      <c r="AA16" s="77" t="str">
        <f t="shared" si="8"/>
        <v/>
      </c>
      <c r="AB16" s="169" t="str">
        <f t="shared" ref="AB16:AB17" si="37">IF($E$21="Yes",Z16,AA16)</f>
        <v/>
      </c>
      <c r="AC16" s="173">
        <f t="shared" ref="AC16:AC17" si="38">IF($E$21="Yes",IF(Z16=1,5,IF(Z16=2,4,IF(Z16=3,3,IF(Z16=4,2,IF(Z16=5,1,0))))),IF(AA16=1,5,IF(AA16=2,4,IF(AA16=3,3,IF(AA16=4,2,IF(AA16=5,1,0))))))+L16</f>
        <v>0</v>
      </c>
      <c r="AD16" s="59">
        <f t="shared" ref="AD16:AD17" si="39">Y16/$E$20</f>
        <v>0</v>
      </c>
      <c r="AE16" s="59">
        <f t="shared" ref="AE16:AE17" si="40">IF(AD16&gt;0,((Y16/$E$20)-$E$29),0)</f>
        <v>0</v>
      </c>
      <c r="AF16" s="59">
        <f t="shared" ref="AF16:AF17" si="41">IF(AE16&gt;30,30,IF(AE16&lt;-30,-30,(AE16)))</f>
        <v>0</v>
      </c>
      <c r="AG16" s="60">
        <f t="shared" ref="AG16:AG17" si="42">AF16*$E$22</f>
        <v>0</v>
      </c>
      <c r="AH16" s="165">
        <f>MIN(MAX(IF(T16="Yes",G16+AG16,G16),'Handicaps-Roster'!L18),'Handicaps-Roster'!M18)</f>
        <v>280</v>
      </c>
      <c r="AI16" s="165">
        <f>MIN(MAX(IF(T16="No",I16+AG16,I16),'Handicaps-Roster'!N18),'Handicaps-Roster'!O18)</f>
        <v>287.80979099165478</v>
      </c>
      <c r="AJ16" s="174">
        <f>AC16+'Race #3'!AJ16</f>
        <v>3</v>
      </c>
      <c r="AK16" s="176" t="str">
        <f t="shared" ref="AK16:AK17" si="43">IF(O16=1,IF(T16="Yes",E16,F16),"")</f>
        <v/>
      </c>
      <c r="AL16" s="195" t="str">
        <f t="shared" ref="AL16:AL17" si="44">IFERROR((($AN$22/($E$24+AK16))*R16),"")</f>
        <v/>
      </c>
      <c r="AM16" s="156" t="str">
        <f t="shared" si="15"/>
        <v/>
      </c>
      <c r="AN16" s="156">
        <f t="shared" ref="AN16:AN17" si="45">IF(AM16=1,5,IF(AM16=2,4,IF(AM16=3,3,IF(AM16=4,2,IF(AM16=5,1,0)))))+O16</f>
        <v>0</v>
      </c>
      <c r="AO16" s="156">
        <f>'Race #3'!AO16+'Race #4'!AN16</f>
        <v>8</v>
      </c>
      <c r="AP16" s="158" t="str">
        <f t="shared" ref="AP16:AP17" si="46">B16</f>
        <v>Lone Gull</v>
      </c>
      <c r="AQ16" s="81"/>
    </row>
    <row r="17" spans="2:43" ht="30" customHeight="1" thickBot="1" x14ac:dyDescent="0.25">
      <c r="B17" s="396">
        <f>'2026 Applebee Finish Summary'!I18</f>
        <v>0</v>
      </c>
      <c r="C17" s="426">
        <f>'2026 Applebee Finish Summary'!J18</f>
        <v>0</v>
      </c>
      <c r="D17" s="426">
        <f>'2026 Applebee Finish Summary'!K18</f>
        <v>0</v>
      </c>
      <c r="E17" s="275">
        <f>'Handicaps-Roster'!G19</f>
        <v>0</v>
      </c>
      <c r="F17" s="275">
        <f>'Handicaps-Roster'!H19</f>
        <v>0</v>
      </c>
      <c r="G17" s="275">
        <f>'Race #3'!AH17</f>
        <v>0</v>
      </c>
      <c r="H17" s="276">
        <f t="shared" si="28"/>
        <v>1.222754817992145</v>
      </c>
      <c r="I17" s="275">
        <f>'Race #3'!AI17</f>
        <v>0</v>
      </c>
      <c r="J17" s="276">
        <f t="shared" si="29"/>
        <v>1.222754817992145</v>
      </c>
      <c r="K17" s="413" t="str">
        <f t="shared" si="18"/>
        <v>No</v>
      </c>
      <c r="L17" s="342">
        <f t="shared" si="30"/>
        <v>0</v>
      </c>
      <c r="M17" s="338"/>
      <c r="N17" s="338"/>
      <c r="O17" s="277">
        <f t="shared" si="19"/>
        <v>0</v>
      </c>
      <c r="P17" s="339" t="str">
        <f t="shared" si="3"/>
        <v/>
      </c>
      <c r="Q17" s="278">
        <f t="shared" si="31"/>
        <v>0</v>
      </c>
      <c r="R17" s="279">
        <f t="shared" si="32"/>
        <v>0</v>
      </c>
      <c r="S17" s="279">
        <f t="shared" si="33"/>
        <v>0</v>
      </c>
      <c r="T17" s="340" t="s">
        <v>140</v>
      </c>
      <c r="U17" s="395" t="str">
        <f t="shared" si="34"/>
        <v/>
      </c>
      <c r="V17" s="343">
        <f t="shared" si="5"/>
        <v>0</v>
      </c>
      <c r="W17" s="343">
        <f t="shared" si="27"/>
        <v>0</v>
      </c>
      <c r="X17" s="279">
        <f t="shared" si="35"/>
        <v>0</v>
      </c>
      <c r="Y17" s="277">
        <f t="shared" si="36"/>
        <v>0</v>
      </c>
      <c r="Z17" s="280" t="str">
        <f t="shared" si="7"/>
        <v/>
      </c>
      <c r="AA17" s="280" t="str">
        <f t="shared" si="8"/>
        <v/>
      </c>
      <c r="AB17" s="171" t="str">
        <f t="shared" si="37"/>
        <v/>
      </c>
      <c r="AC17" s="177">
        <f t="shared" si="38"/>
        <v>0</v>
      </c>
      <c r="AD17" s="277">
        <f t="shared" si="39"/>
        <v>0</v>
      </c>
      <c r="AE17" s="277">
        <f t="shared" si="40"/>
        <v>0</v>
      </c>
      <c r="AF17" s="277">
        <f t="shared" si="41"/>
        <v>0</v>
      </c>
      <c r="AG17" s="281">
        <f t="shared" si="42"/>
        <v>0</v>
      </c>
      <c r="AH17" s="282">
        <f>MIN(MAX(IF(T17="Yes",G17+AG17,G17),'Handicaps-Roster'!L19),'Handicaps-Roster'!M19)</f>
        <v>0</v>
      </c>
      <c r="AI17" s="282">
        <f>MIN(MAX(IF(T17="No",I17+AG17,I17),'Handicaps-Roster'!N19),'Handicaps-Roster'!O19)</f>
        <v>0</v>
      </c>
      <c r="AJ17" s="178">
        <f>AC17+'Race #3'!AJ17</f>
        <v>0</v>
      </c>
      <c r="AK17" s="287" t="str">
        <f t="shared" si="43"/>
        <v/>
      </c>
      <c r="AL17" s="286" t="str">
        <f t="shared" si="44"/>
        <v/>
      </c>
      <c r="AM17" s="157" t="str">
        <f t="shared" si="15"/>
        <v/>
      </c>
      <c r="AN17" s="157">
        <f t="shared" si="45"/>
        <v>0</v>
      </c>
      <c r="AO17" s="157">
        <f>'Race #3'!AO17+'Race #4'!AN17</f>
        <v>0</v>
      </c>
      <c r="AP17" s="284">
        <f t="shared" si="46"/>
        <v>0</v>
      </c>
      <c r="AQ17" s="81"/>
    </row>
    <row r="18" spans="2:43" ht="30" customHeight="1" x14ac:dyDescent="0.2">
      <c r="AO18" s="81"/>
    </row>
    <row r="19" spans="2:43" ht="16" thickBot="1" x14ac:dyDescent="0.25">
      <c r="B19" s="4"/>
      <c r="E19" s="5"/>
      <c r="F19" s="11"/>
      <c r="G19" s="5"/>
      <c r="H19" s="11"/>
      <c r="I19" s="11"/>
      <c r="J19" s="11"/>
      <c r="K19" s="11"/>
      <c r="L19" s="11"/>
      <c r="M19" s="11"/>
      <c r="N19" s="13"/>
      <c r="O19" s="13"/>
      <c r="P19" s="11"/>
      <c r="Q19" s="11"/>
      <c r="R19" s="11"/>
      <c r="S19" s="8"/>
      <c r="T19" s="89" t="s">
        <v>146</v>
      </c>
      <c r="U19" s="11"/>
      <c r="V19" s="11"/>
      <c r="W19" s="13"/>
      <c r="X19" s="13"/>
      <c r="Y19" s="18"/>
      <c r="Z19" s="18"/>
      <c r="AA19" s="13"/>
      <c r="AB19" s="13"/>
      <c r="AC19" s="89" t="s">
        <v>186</v>
      </c>
      <c r="AD19" s="443" t="s">
        <v>392</v>
      </c>
      <c r="AE19" s="15"/>
      <c r="AF19" s="16"/>
      <c r="AG19" s="11"/>
      <c r="AH19" s="11"/>
      <c r="AI19" s="5"/>
    </row>
    <row r="20" spans="2:43" ht="18" customHeight="1" x14ac:dyDescent="0.35">
      <c r="D20" s="87" t="s">
        <v>141</v>
      </c>
      <c r="E20" s="86">
        <f>Z30</f>
        <v>6.3374477980972266</v>
      </c>
      <c r="G20" s="481" t="s">
        <v>142</v>
      </c>
      <c r="H20" s="482"/>
      <c r="I20" s="511" t="s">
        <v>102</v>
      </c>
      <c r="J20" s="482"/>
      <c r="K20" s="516" t="s">
        <v>143</v>
      </c>
      <c r="L20" s="493"/>
      <c r="M20" s="516" t="s">
        <v>144</v>
      </c>
      <c r="N20" s="491"/>
      <c r="P20" s="512" t="s">
        <v>145</v>
      </c>
      <c r="Q20" s="513"/>
      <c r="U20" s="89" t="s">
        <v>147</v>
      </c>
      <c r="W20" s="89" t="s">
        <v>148</v>
      </c>
      <c r="Z20" s="233" t="s">
        <v>149</v>
      </c>
      <c r="AK20" s="521" t="s">
        <v>150</v>
      </c>
      <c r="AL20" s="500"/>
      <c r="AM20" s="500"/>
      <c r="AN20" s="501"/>
    </row>
    <row r="21" spans="2:43" ht="18" customHeight="1" x14ac:dyDescent="0.2">
      <c r="D21" s="87" t="s">
        <v>151</v>
      </c>
      <c r="E21" s="24" t="s">
        <v>139</v>
      </c>
      <c r="G21" s="477" t="str">
        <f>IF($E$27&gt;0,"First Place","")</f>
        <v>First Place</v>
      </c>
      <c r="H21" s="478"/>
      <c r="I21" s="483" t="str">
        <f>IF($E$27&gt;0,VLOOKUP(1,$AB$4:$AP$17,15,FALSE),"")</f>
        <v>Exit Strategy</v>
      </c>
      <c r="J21" s="484"/>
      <c r="K21" s="514">
        <f t="shared" ref="K21:K32" si="47">IFERROR(VLOOKUP(I21,$B$4:$Y$17,24,0)-_xlfn.MINIFS($Y$4:$Y$17,$Y$4:$Y$17,"&gt;0"),"")</f>
        <v>0</v>
      </c>
      <c r="L21" s="515"/>
      <c r="M21" s="514">
        <f t="shared" ref="M21:M32" si="48">IFERROR(VLOOKUP(I21,$B$4:$X$17,23,0)-_xlfn.MINIFS($X$4:$X$17,$X$4:$X$17,"&gt;0"),"")</f>
        <v>0</v>
      </c>
      <c r="N21" s="517"/>
      <c r="P21" s="115" t="s">
        <v>93</v>
      </c>
      <c r="Q21" s="115" t="s">
        <v>152</v>
      </c>
      <c r="U21" s="30"/>
      <c r="V21" s="30"/>
      <c r="AK21" s="147" t="s">
        <v>153</v>
      </c>
      <c r="AL21" s="148"/>
      <c r="AM21" s="148"/>
      <c r="AN21" s="154">
        <f>SUM(AK4:AK17)/E27</f>
        <v>117.33333333333333</v>
      </c>
    </row>
    <row r="22" spans="2:43" ht="18" customHeight="1" x14ac:dyDescent="0.2">
      <c r="D22" s="87" t="s">
        <v>154</v>
      </c>
      <c r="E22" s="250">
        <v>0.1</v>
      </c>
      <c r="G22" s="477" t="str">
        <f>IF(E27&gt;1,"Second Place","")</f>
        <v>Second Place</v>
      </c>
      <c r="H22" s="478"/>
      <c r="I22" s="483" t="str">
        <f>IF($E$27&gt;1,VLOOKUP(2,$AB$4:$AP$17,15,FALSE),"")</f>
        <v>Paradox</v>
      </c>
      <c r="J22" s="484"/>
      <c r="K22" s="514">
        <f t="shared" si="47"/>
        <v>81.948803865729587</v>
      </c>
      <c r="L22" s="515"/>
      <c r="M22" s="514">
        <f t="shared" si="48"/>
        <v>82.402958471648162</v>
      </c>
      <c r="N22" s="517"/>
      <c r="P22" s="116">
        <v>2</v>
      </c>
      <c r="Q22" s="117">
        <v>1</v>
      </c>
      <c r="U22" s="430" t="s">
        <v>193</v>
      </c>
      <c r="V22" s="430"/>
      <c r="W22" s="430" t="s">
        <v>199</v>
      </c>
      <c r="X22" s="107"/>
      <c r="Y22" s="107"/>
      <c r="Z22" s="429">
        <v>2.445542984143716</v>
      </c>
      <c r="AA22" s="148"/>
      <c r="AB22" s="148"/>
      <c r="AK22" s="147" t="s">
        <v>155</v>
      </c>
      <c r="AL22" s="148"/>
      <c r="AM22" s="148"/>
      <c r="AN22" s="154">
        <f>AN21+E24</f>
        <v>597.33333333333337</v>
      </c>
    </row>
    <row r="23" spans="2:43" ht="18" customHeight="1" thickBot="1" x14ac:dyDescent="0.25">
      <c r="D23" s="87" t="s">
        <v>156</v>
      </c>
      <c r="E23" s="94" t="s">
        <v>174</v>
      </c>
      <c r="G23" s="477" t="str">
        <f>IF(E27&gt;2,"Third Place","")</f>
        <v>Third Place</v>
      </c>
      <c r="H23" s="478"/>
      <c r="I23" s="483" t="str">
        <f>IF($E$27&gt;2,VLOOKUP(3,$AB$4:$AP$17,15,FALSE),"")</f>
        <v>Estella</v>
      </c>
      <c r="J23" s="484"/>
      <c r="K23" s="514">
        <f t="shared" si="47"/>
        <v>124.22715860603512</v>
      </c>
      <c r="L23" s="515"/>
      <c r="M23" s="514">
        <f t="shared" si="48"/>
        <v>124.44445472568714</v>
      </c>
      <c r="N23" s="517"/>
      <c r="P23" s="118">
        <v>3</v>
      </c>
      <c r="Q23" s="108">
        <v>2</v>
      </c>
      <c r="U23" s="430" t="s">
        <v>199</v>
      </c>
      <c r="V23" s="430"/>
      <c r="W23" s="430" t="s">
        <v>390</v>
      </c>
      <c r="X23" s="107"/>
      <c r="Y23" s="107"/>
      <c r="Z23" s="429">
        <v>1.5666646331390073</v>
      </c>
      <c r="AA23" s="148"/>
      <c r="AB23" s="148"/>
      <c r="AK23" s="149" t="s">
        <v>158</v>
      </c>
      <c r="AL23" s="150"/>
      <c r="AM23" s="150"/>
      <c r="AN23" s="152">
        <f>AN22/(AN21+E24)</f>
        <v>1</v>
      </c>
    </row>
    <row r="24" spans="2:43" ht="18" customHeight="1" x14ac:dyDescent="0.2">
      <c r="D24" s="87" t="s">
        <v>159</v>
      </c>
      <c r="E24" s="249">
        <f>VLOOKUP(E23,I36:K38,3,0)</f>
        <v>480</v>
      </c>
      <c r="G24" s="477" t="str">
        <f>IF(E27&gt;3,"Fourth Place","")</f>
        <v/>
      </c>
      <c r="H24" s="478"/>
      <c r="I24" s="483" t="str">
        <f>IF($E$27&gt;3,VLOOKUP(4,$AB$4:$AP$17,15,FALSE),"")</f>
        <v/>
      </c>
      <c r="J24" s="484"/>
      <c r="K24" s="514" t="str">
        <f t="shared" si="47"/>
        <v/>
      </c>
      <c r="L24" s="515"/>
      <c r="M24" s="514" t="str">
        <f t="shared" si="48"/>
        <v/>
      </c>
      <c r="N24" s="517"/>
      <c r="P24" s="118">
        <v>4</v>
      </c>
      <c r="Q24" s="108">
        <v>2</v>
      </c>
      <c r="U24" s="430" t="s">
        <v>354</v>
      </c>
      <c r="V24" s="430"/>
      <c r="W24" s="430" t="s">
        <v>361</v>
      </c>
      <c r="X24" s="107"/>
      <c r="Y24" s="107"/>
      <c r="Z24" s="429">
        <v>2.3252401808145038</v>
      </c>
      <c r="AA24" s="148"/>
      <c r="AB24" s="148"/>
    </row>
    <row r="25" spans="2:43" ht="18" customHeight="1" x14ac:dyDescent="0.2">
      <c r="D25" s="95"/>
      <c r="E25" s="96"/>
      <c r="G25" s="477" t="str">
        <f>IF(E27&gt;4,"Fifth Place","")</f>
        <v/>
      </c>
      <c r="H25" s="478"/>
      <c r="I25" s="483" t="str">
        <f>IF($E$27&gt;4,VLOOKUP(5,$AB$4:$AP$17,15,FALSE),"")</f>
        <v/>
      </c>
      <c r="J25" s="484"/>
      <c r="K25" s="514" t="str">
        <f t="shared" si="47"/>
        <v/>
      </c>
      <c r="L25" s="515"/>
      <c r="M25" s="514" t="str">
        <f t="shared" si="48"/>
        <v/>
      </c>
      <c r="N25" s="517"/>
      <c r="P25" s="118">
        <v>5</v>
      </c>
      <c r="Q25" s="108">
        <v>2</v>
      </c>
      <c r="U25" s="430"/>
      <c r="V25" s="430"/>
      <c r="W25" s="430"/>
      <c r="X25" s="107"/>
      <c r="Y25" s="107"/>
      <c r="Z25" s="429"/>
      <c r="AA25" s="148"/>
      <c r="AB25" s="148"/>
    </row>
    <row r="26" spans="2:43" ht="18" customHeight="1" x14ac:dyDescent="0.2">
      <c r="D26" s="87" t="s">
        <v>160</v>
      </c>
      <c r="E26" s="23">
        <f>SUM(L4:L17)</f>
        <v>4</v>
      </c>
      <c r="G26" s="477" t="str">
        <f>IF($E$27&gt;5,"Sixth Place","")</f>
        <v/>
      </c>
      <c r="H26" s="478"/>
      <c r="I26" s="483" t="str">
        <f>IF($E$27&gt;5,VLOOKUP(6,$AB$4:$AP$17,15,FALSE),"")</f>
        <v/>
      </c>
      <c r="J26" s="484"/>
      <c r="K26" s="514" t="str">
        <f t="shared" si="47"/>
        <v/>
      </c>
      <c r="L26" s="515"/>
      <c r="M26" s="514" t="str">
        <f t="shared" si="48"/>
        <v/>
      </c>
      <c r="N26" s="517"/>
      <c r="P26" s="118">
        <v>6</v>
      </c>
      <c r="Q26" s="108">
        <v>3</v>
      </c>
      <c r="U26" s="430"/>
      <c r="V26" s="430"/>
      <c r="W26" s="430"/>
      <c r="X26" s="107"/>
      <c r="Y26" s="107"/>
      <c r="Z26" s="429"/>
      <c r="AA26" s="148"/>
      <c r="AB26" s="148"/>
    </row>
    <row r="27" spans="2:43" ht="18" customHeight="1" x14ac:dyDescent="0.2">
      <c r="D27" s="87" t="s">
        <v>161</v>
      </c>
      <c r="E27" s="23">
        <f>SUM(O4:O17)</f>
        <v>3</v>
      </c>
      <c r="G27" s="477" t="str">
        <f>IF($E$27&gt;6,"Seventh Place","")</f>
        <v/>
      </c>
      <c r="H27" s="478"/>
      <c r="I27" s="483" t="str">
        <f>IF($E$27&gt;6,VLOOKUP(7,$AB$4:$AP$17,15,FALSE),"")</f>
        <v/>
      </c>
      <c r="J27" s="484"/>
      <c r="K27" s="514" t="str">
        <f t="shared" si="47"/>
        <v/>
      </c>
      <c r="L27" s="515"/>
      <c r="M27" s="514" t="str">
        <f t="shared" si="48"/>
        <v/>
      </c>
      <c r="N27" s="517"/>
      <c r="P27" s="118">
        <v>7</v>
      </c>
      <c r="Q27" s="108">
        <v>3</v>
      </c>
      <c r="U27" s="430"/>
      <c r="V27" s="430"/>
      <c r="W27" s="430"/>
      <c r="X27" s="107"/>
      <c r="Y27" s="107"/>
      <c r="Z27" s="429"/>
      <c r="AA27" s="148"/>
      <c r="AB27" s="148"/>
    </row>
    <row r="28" spans="2:43" ht="18" customHeight="1" x14ac:dyDescent="0.2">
      <c r="D28" s="87" t="s">
        <v>162</v>
      </c>
      <c r="E28" s="25">
        <f>VLOOKUP(E27,P22:Q32,2,FALSE)</f>
        <v>2</v>
      </c>
      <c r="G28" s="477" t="str">
        <f>IF(E27&gt;7,"Eighth Place","")</f>
        <v/>
      </c>
      <c r="H28" s="478"/>
      <c r="I28" s="483" t="str">
        <f>IF($E$27&gt;7,VLOOKUP(8,$AB$4:$AP$17,15,FALSE),"")</f>
        <v/>
      </c>
      <c r="J28" s="484"/>
      <c r="K28" s="514" t="str">
        <f t="shared" si="47"/>
        <v/>
      </c>
      <c r="L28" s="515"/>
      <c r="M28" s="514" t="str">
        <f t="shared" si="48"/>
        <v/>
      </c>
      <c r="N28" s="517"/>
      <c r="P28" s="118">
        <v>8</v>
      </c>
      <c r="Q28" s="108">
        <v>3</v>
      </c>
      <c r="U28" s="430"/>
      <c r="V28" s="430"/>
      <c r="W28" s="430"/>
      <c r="X28" s="107"/>
      <c r="Y28" s="107"/>
      <c r="Z28" s="429"/>
      <c r="AA28" s="148"/>
      <c r="AB28" s="148"/>
    </row>
    <row r="29" spans="2:43" ht="18" customHeight="1" x14ac:dyDescent="0.2">
      <c r="D29" s="87" t="s">
        <v>163</v>
      </c>
      <c r="E29" s="26">
        <f>VLOOKUP(E28,AA4:AD17,4,FALSE)</f>
        <v>596.87505660217016</v>
      </c>
      <c r="G29" s="477" t="str">
        <f>IF(E27&gt;8,"Ninth Place","")</f>
        <v/>
      </c>
      <c r="H29" s="478"/>
      <c r="I29" s="483" t="str">
        <f>IF($E$27&gt;8,VLOOKUP(9,$AB$4:$AP$17,15,FALSE),"")</f>
        <v/>
      </c>
      <c r="J29" s="484"/>
      <c r="K29" s="514" t="str">
        <f t="shared" si="47"/>
        <v/>
      </c>
      <c r="L29" s="515"/>
      <c r="M29" s="514" t="str">
        <f t="shared" si="48"/>
        <v/>
      </c>
      <c r="N29" s="517"/>
      <c r="O29" s="445"/>
      <c r="P29" s="118">
        <v>9</v>
      </c>
      <c r="Q29" s="108">
        <v>4</v>
      </c>
      <c r="U29" s="430"/>
      <c r="V29" s="430"/>
      <c r="W29" s="430"/>
      <c r="X29" s="107"/>
      <c r="Y29" s="107"/>
      <c r="Z29" s="429"/>
      <c r="AA29" s="148"/>
      <c r="AB29" s="148"/>
    </row>
    <row r="30" spans="2:43" ht="18" customHeight="1" x14ac:dyDescent="0.2">
      <c r="D30" s="87" t="s">
        <v>153</v>
      </c>
      <c r="E30" s="181">
        <f>SUM(U4:U17)/E27</f>
        <v>106.92231263622966</v>
      </c>
      <c r="G30" s="477" t="str">
        <f>IF(E27&gt;9,"Tenth Place","")</f>
        <v/>
      </c>
      <c r="H30" s="478"/>
      <c r="I30" s="483" t="str">
        <f>IF($E$27&gt;9,VLOOKUP(10,$AB$4:$AP$17,15,FALSE),"")</f>
        <v/>
      </c>
      <c r="J30" s="484"/>
      <c r="K30" s="514" t="str">
        <f t="shared" si="47"/>
        <v/>
      </c>
      <c r="L30" s="515"/>
      <c r="M30" s="514" t="str">
        <f t="shared" si="48"/>
        <v/>
      </c>
      <c r="N30" s="517"/>
      <c r="P30" s="118">
        <v>10</v>
      </c>
      <c r="Q30" s="108">
        <v>4</v>
      </c>
      <c r="U30" s="148"/>
      <c r="V30" s="148"/>
      <c r="W30" s="430"/>
      <c r="X30" s="107"/>
      <c r="Y30" s="88" t="s">
        <v>164</v>
      </c>
      <c r="Z30" s="429">
        <f>SUM(Z22:Z26)</f>
        <v>6.3374477980972266</v>
      </c>
      <c r="AA30" s="148"/>
      <c r="AB30" s="148"/>
    </row>
    <row r="31" spans="2:43" ht="18" customHeight="1" x14ac:dyDescent="0.2">
      <c r="D31" s="87" t="s">
        <v>155</v>
      </c>
      <c r="E31" s="434">
        <f>E24+E30</f>
        <v>586.92231263622966</v>
      </c>
      <c r="G31" s="477" t="str">
        <f>IF(E27&gt;10,"Eleventh Place","")</f>
        <v/>
      </c>
      <c r="H31" s="478"/>
      <c r="I31" s="483" t="str">
        <f>IF($E$27&gt;10,VLOOKUP(11,$AB$4:$AP$17,15,FALSE),"")</f>
        <v/>
      </c>
      <c r="J31" s="484"/>
      <c r="K31" s="514" t="str">
        <f t="shared" si="47"/>
        <v/>
      </c>
      <c r="L31" s="515"/>
      <c r="M31" s="514" t="str">
        <f t="shared" si="48"/>
        <v/>
      </c>
      <c r="N31" s="517"/>
      <c r="P31" s="118">
        <v>11</v>
      </c>
      <c r="Q31" s="108">
        <v>4</v>
      </c>
      <c r="W31" s="30"/>
    </row>
    <row r="32" spans="2:43" ht="18" customHeight="1" thickBot="1" x14ac:dyDescent="0.25">
      <c r="D32" s="87" t="s">
        <v>158</v>
      </c>
      <c r="E32" s="418">
        <f>E31/(E24+E30)</f>
        <v>1</v>
      </c>
      <c r="G32" s="479" t="str">
        <f>IF(E27&gt;11,"Twelth Place","")</f>
        <v/>
      </c>
      <c r="H32" s="480"/>
      <c r="I32" s="494" t="str">
        <f>IF($E$27&gt;11,VLOOKUP(12,$AB$4:$AP$17,15,FALSE),"")</f>
        <v/>
      </c>
      <c r="J32" s="495"/>
      <c r="K32" s="523" t="str">
        <f t="shared" si="47"/>
        <v/>
      </c>
      <c r="L32" s="525"/>
      <c r="M32" s="523" t="str">
        <f t="shared" si="48"/>
        <v/>
      </c>
      <c r="N32" s="524"/>
      <c r="P32" s="119">
        <v>12</v>
      </c>
      <c r="Q32" s="111">
        <v>5</v>
      </c>
      <c r="W32" s="30"/>
    </row>
    <row r="33" spans="4:36" ht="18" customHeight="1" x14ac:dyDescent="0.2"/>
    <row r="34" spans="4:36" ht="18" customHeight="1" x14ac:dyDescent="0.2">
      <c r="D34" s="87" t="s">
        <v>352</v>
      </c>
      <c r="E34" s="416">
        <f>_xlfn.MINIFS(Q4:Q17,Q4:Q17,"&gt;0")*86400</f>
        <v>3635.0000000000055</v>
      </c>
      <c r="I34" s="505" t="s">
        <v>165</v>
      </c>
      <c r="J34" s="506"/>
      <c r="K34" s="507"/>
    </row>
    <row r="35" spans="4:36" x14ac:dyDescent="0.2">
      <c r="I35" s="97" t="s">
        <v>166</v>
      </c>
      <c r="J35" s="93" t="s">
        <v>167</v>
      </c>
      <c r="K35" s="98" t="s">
        <v>168</v>
      </c>
    </row>
    <row r="36" spans="4:36" x14ac:dyDescent="0.2">
      <c r="D36" s="88" t="s">
        <v>169</v>
      </c>
      <c r="E36" s="47" t="str">
        <f>IF(E21="Yes","Distance","Time")</f>
        <v>Distance</v>
      </c>
      <c r="I36" s="106" t="s">
        <v>170</v>
      </c>
      <c r="J36" s="107" t="s">
        <v>171</v>
      </c>
      <c r="K36" s="108">
        <v>600</v>
      </c>
      <c r="T36" s="4"/>
    </row>
    <row r="37" spans="4:36" x14ac:dyDescent="0.2">
      <c r="D37" s="2" t="s">
        <v>172</v>
      </c>
      <c r="I37" s="106" t="s">
        <v>157</v>
      </c>
      <c r="J37" s="126" t="s">
        <v>173</v>
      </c>
      <c r="K37" s="108">
        <v>550</v>
      </c>
    </row>
    <row r="38" spans="4:36" x14ac:dyDescent="0.2">
      <c r="D38" s="2"/>
      <c r="I38" s="109" t="s">
        <v>174</v>
      </c>
      <c r="J38" s="110" t="s">
        <v>175</v>
      </c>
      <c r="K38" s="111">
        <v>480</v>
      </c>
    </row>
    <row r="39" spans="4:36" x14ac:dyDescent="0.2">
      <c r="D39" s="2"/>
    </row>
    <row r="41" spans="4:36" x14ac:dyDescent="0.2">
      <c r="AJ41" s="1"/>
    </row>
    <row r="42" spans="4:36" x14ac:dyDescent="0.2">
      <c r="D42" s="2"/>
    </row>
    <row r="43" spans="4:36" x14ac:dyDescent="0.2">
      <c r="D43" s="2"/>
    </row>
    <row r="44" spans="4:36" x14ac:dyDescent="0.2">
      <c r="D44" s="2"/>
    </row>
  </sheetData>
  <mergeCells count="57">
    <mergeCell ref="U2:AJ2"/>
    <mergeCell ref="AK20:AN20"/>
    <mergeCell ref="AK2:AO2"/>
    <mergeCell ref="I25:J25"/>
    <mergeCell ref="I34:K34"/>
    <mergeCell ref="M32:N32"/>
    <mergeCell ref="M27:N27"/>
    <mergeCell ref="M28:N28"/>
    <mergeCell ref="M29:N29"/>
    <mergeCell ref="M30:N30"/>
    <mergeCell ref="M31:N31"/>
    <mergeCell ref="K32:L32"/>
    <mergeCell ref="I31:J31"/>
    <mergeCell ref="K27:L27"/>
    <mergeCell ref="K28:L28"/>
    <mergeCell ref="K29:L29"/>
    <mergeCell ref="K30:L30"/>
    <mergeCell ref="K31:L31"/>
    <mergeCell ref="I32:J32"/>
    <mergeCell ref="I26:J26"/>
    <mergeCell ref="I27:J27"/>
    <mergeCell ref="I28:J28"/>
    <mergeCell ref="I29:J29"/>
    <mergeCell ref="I30:J30"/>
    <mergeCell ref="P20:Q20"/>
    <mergeCell ref="K23:L23"/>
    <mergeCell ref="K24:L24"/>
    <mergeCell ref="K25:L25"/>
    <mergeCell ref="K26:L26"/>
    <mergeCell ref="M20:N20"/>
    <mergeCell ref="M21:N21"/>
    <mergeCell ref="M22:N22"/>
    <mergeCell ref="M23:N23"/>
    <mergeCell ref="M24:N24"/>
    <mergeCell ref="M25:N25"/>
    <mergeCell ref="M26:N26"/>
    <mergeCell ref="K20:L20"/>
    <mergeCell ref="K21:L21"/>
    <mergeCell ref="K22:L22"/>
    <mergeCell ref="G20:H20"/>
    <mergeCell ref="I22:J22"/>
    <mergeCell ref="I23:J23"/>
    <mergeCell ref="I24:J24"/>
    <mergeCell ref="G21:H21"/>
    <mergeCell ref="G22:H22"/>
    <mergeCell ref="G23:H23"/>
    <mergeCell ref="G24:H24"/>
    <mergeCell ref="I20:J20"/>
    <mergeCell ref="I21:J21"/>
    <mergeCell ref="G30:H30"/>
    <mergeCell ref="G31:H31"/>
    <mergeCell ref="G32:H32"/>
    <mergeCell ref="G25:H25"/>
    <mergeCell ref="G26:H26"/>
    <mergeCell ref="G27:H27"/>
    <mergeCell ref="G28:H28"/>
    <mergeCell ref="G29:H29"/>
  </mergeCells>
  <phoneticPr fontId="6" type="noConversion"/>
  <conditionalFormatting sqref="P4:P17">
    <cfRule type="cellIs" dxfId="15" priority="3" operator="equal">
      <formula>1</formula>
    </cfRule>
  </conditionalFormatting>
  <conditionalFormatting sqref="T4:U12 T13 T14:U17">
    <cfRule type="cellIs" dxfId="14" priority="1" operator="equal">
      <formula>"Yes"</formula>
    </cfRule>
  </conditionalFormatting>
  <dataValidations count="2">
    <dataValidation type="list" allowBlank="1" showInputMessage="1" showErrorMessage="1" sqref="E21 E25 K4:K17 T4:T17" xr:uid="{B40A1E45-2B15-2A4C-A341-708744506E5A}">
      <formula1>$AT$4:$AT$5</formula1>
    </dataValidation>
    <dataValidation type="list" allowBlank="1" showInputMessage="1" showErrorMessage="1" sqref="E23" xr:uid="{0BB1AEE3-72B9-443A-8A0A-8269458E1912}">
      <formula1>$I$36:$I$38</formula1>
    </dataValidation>
  </dataValidations>
  <printOptions horizontalCentered="1"/>
  <pageMargins left="0.7" right="0.7" top="0.75" bottom="0.75" header="0.3" footer="0.3"/>
  <pageSetup paperSize="9" scale="49" fitToWidth="2" orientation="landscape" r:id="rId1"/>
  <ignoredErrors>
    <ignoredError sqref="I6 I4 I8:I14" 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64F7-556C-0047-A451-14A5BA3468AC}">
  <sheetPr>
    <pageSetUpPr fitToPage="1"/>
  </sheetPr>
  <dimension ref="B1:AT44"/>
  <sheetViews>
    <sheetView zoomScale="80" zoomScaleNormal="80" workbookViewId="0">
      <selection activeCell="T25" sqref="T25"/>
    </sheetView>
  </sheetViews>
  <sheetFormatPr baseColWidth="10" defaultColWidth="8.83203125" defaultRowHeight="15" x14ac:dyDescent="0.2"/>
  <cols>
    <col min="1" max="1" width="2.83203125" customWidth="1"/>
    <col min="2" max="2" width="12.33203125" customWidth="1"/>
    <col min="3" max="3" width="16.5" customWidth="1"/>
    <col min="4" max="4" width="32" customWidth="1"/>
    <col min="5" max="14" width="10.83203125" customWidth="1"/>
    <col min="15" max="15" width="10.83203125" style="1" customWidth="1"/>
    <col min="16" max="22" width="10.83203125" customWidth="1"/>
    <col min="23" max="26" width="10.83203125" style="1" customWidth="1"/>
    <col min="27" max="41" width="10.83203125" customWidth="1"/>
    <col min="42" max="42" width="16.83203125" customWidth="1"/>
    <col min="43" max="43" width="3.6640625" customWidth="1"/>
    <col min="44" max="44" width="17.5" customWidth="1"/>
    <col min="46" max="46" width="0" hidden="1" customWidth="1"/>
  </cols>
  <sheetData>
    <row r="1" spans="2:46" ht="15" customHeight="1" thickBot="1" x14ac:dyDescent="0.25"/>
    <row r="2" spans="2:46" ht="15" customHeight="1" thickBot="1" x14ac:dyDescent="0.25">
      <c r="B2" s="28" t="s">
        <v>188</v>
      </c>
      <c r="C2" s="17"/>
      <c r="D2" s="17"/>
      <c r="E2" s="17"/>
      <c r="F2" s="17"/>
      <c r="G2" s="17"/>
      <c r="H2" s="17"/>
      <c r="I2" s="17"/>
      <c r="L2" s="17"/>
      <c r="M2" s="17"/>
      <c r="N2" s="17"/>
      <c r="O2" s="29"/>
      <c r="P2" s="17"/>
      <c r="Q2" s="17"/>
      <c r="R2" s="17"/>
      <c r="S2" s="124"/>
      <c r="T2" s="17"/>
      <c r="U2" s="518" t="s">
        <v>0</v>
      </c>
      <c r="V2" s="519"/>
      <c r="W2" s="519"/>
      <c r="X2" s="519"/>
      <c r="Y2" s="519"/>
      <c r="Z2" s="519"/>
      <c r="AA2" s="519"/>
      <c r="AB2" s="519"/>
      <c r="AC2" s="519"/>
      <c r="AD2" s="519"/>
      <c r="AE2" s="519"/>
      <c r="AF2" s="519"/>
      <c r="AG2" s="519"/>
      <c r="AH2" s="519"/>
      <c r="AI2" s="519"/>
      <c r="AJ2" s="520"/>
      <c r="AK2" s="522" t="s">
        <v>1</v>
      </c>
      <c r="AL2" s="503"/>
      <c r="AM2" s="503"/>
      <c r="AN2" s="503"/>
      <c r="AO2" s="504"/>
    </row>
    <row r="3" spans="2:46" s="22" customFormat="1" ht="80" x14ac:dyDescent="0.2">
      <c r="B3" s="315" t="s">
        <v>9</v>
      </c>
      <c r="C3" s="316" t="s">
        <v>10</v>
      </c>
      <c r="D3" s="316" t="s">
        <v>104</v>
      </c>
      <c r="E3" s="317" t="s">
        <v>105</v>
      </c>
      <c r="F3" s="317" t="s">
        <v>106</v>
      </c>
      <c r="G3" s="318" t="s">
        <v>107</v>
      </c>
      <c r="H3" s="319" t="s">
        <v>108</v>
      </c>
      <c r="I3" s="318" t="s">
        <v>109</v>
      </c>
      <c r="J3" s="319" t="s">
        <v>110</v>
      </c>
      <c r="K3" s="319" t="s">
        <v>111</v>
      </c>
      <c r="L3" s="319" t="s">
        <v>112</v>
      </c>
      <c r="M3" s="319" t="s">
        <v>113</v>
      </c>
      <c r="N3" s="319" t="s">
        <v>114</v>
      </c>
      <c r="O3" s="317" t="s">
        <v>115</v>
      </c>
      <c r="P3" s="320" t="s">
        <v>116</v>
      </c>
      <c r="Q3" s="319" t="s">
        <v>117</v>
      </c>
      <c r="R3" s="319" t="s">
        <v>118</v>
      </c>
      <c r="S3" s="319" t="s">
        <v>119</v>
      </c>
      <c r="T3" s="317" t="s">
        <v>120</v>
      </c>
      <c r="U3" s="317" t="s">
        <v>279</v>
      </c>
      <c r="V3" s="321" t="s">
        <v>121</v>
      </c>
      <c r="W3" s="322" t="s">
        <v>122</v>
      </c>
      <c r="X3" s="321" t="s">
        <v>123</v>
      </c>
      <c r="Y3" s="323" t="s">
        <v>124</v>
      </c>
      <c r="Z3" s="324" t="s">
        <v>125</v>
      </c>
      <c r="AA3" s="323" t="s">
        <v>126</v>
      </c>
      <c r="AB3" s="325" t="s">
        <v>127</v>
      </c>
      <c r="AC3" s="325" t="s">
        <v>128</v>
      </c>
      <c r="AD3" s="326" t="s">
        <v>129</v>
      </c>
      <c r="AE3" s="326" t="s">
        <v>130</v>
      </c>
      <c r="AF3" s="326" t="s">
        <v>131</v>
      </c>
      <c r="AG3" s="326" t="s">
        <v>132</v>
      </c>
      <c r="AH3" s="326" t="s">
        <v>133</v>
      </c>
      <c r="AI3" s="326" t="s">
        <v>134</v>
      </c>
      <c r="AJ3" s="325" t="s">
        <v>135</v>
      </c>
      <c r="AK3" s="323" t="s">
        <v>279</v>
      </c>
      <c r="AL3" s="323" t="s">
        <v>124</v>
      </c>
      <c r="AM3" s="323" t="s">
        <v>126</v>
      </c>
      <c r="AN3" s="323" t="s">
        <v>136</v>
      </c>
      <c r="AO3" s="323" t="s">
        <v>137</v>
      </c>
      <c r="AP3" s="327" t="str">
        <f>B3</f>
        <v>Yacht Name</v>
      </c>
      <c r="AQ3" s="79"/>
      <c r="AR3" s="79" t="s">
        <v>138</v>
      </c>
    </row>
    <row r="4" spans="2:46" ht="30" customHeight="1" x14ac:dyDescent="0.2">
      <c r="B4" s="347" t="str">
        <f>'2026 Applebee Finish Summary'!I5</f>
        <v>Estella</v>
      </c>
      <c r="C4" s="422" t="str">
        <f>'2026 Applebee Finish Summary'!J5</f>
        <v>Saffier 33</v>
      </c>
      <c r="D4" s="422" t="str">
        <f>'2026 Applebee Finish Summary'!K5</f>
        <v>Doug Kilgren</v>
      </c>
      <c r="E4" s="162">
        <f>'Handicaps-Roster'!G6</f>
        <v>90</v>
      </c>
      <c r="F4" s="162">
        <f>'Handicaps-Roster'!H6</f>
        <v>110</v>
      </c>
      <c r="G4" s="162">
        <f>'Race #4'!AH4</f>
        <v>90</v>
      </c>
      <c r="H4" s="61" t="e">
        <f t="shared" ref="H4:H15" si="0">$E$31/($E$24+G4)</f>
        <v>#DIV/0!</v>
      </c>
      <c r="I4" s="162">
        <f>'Race #4'!AI4</f>
        <v>110.66711957379751</v>
      </c>
      <c r="J4" s="61" t="e">
        <f t="shared" ref="J4:J15" si="1">$E$31/($E$24+I4)</f>
        <v>#DIV/0!</v>
      </c>
      <c r="K4" s="61" t="str">
        <f>IF(N4&gt;0,"Yes","No")</f>
        <v>No</v>
      </c>
      <c r="L4" s="328">
        <f t="shared" ref="L4:L14" si="2">IF(K4="Yes",1,0)</f>
        <v>0</v>
      </c>
      <c r="M4" s="329"/>
      <c r="N4" s="329"/>
      <c r="O4" s="59">
        <f>IF(N4&gt;0,1,0)</f>
        <v>0</v>
      </c>
      <c r="P4" s="330" t="str">
        <f t="shared" ref="P4:P17" si="3">IF($N4=0,"",RANK($N4,$N$4:$N$17,1)-COUNTIF($N$4:$N$17,0))</f>
        <v/>
      </c>
      <c r="Q4" s="163">
        <f>N4-M4</f>
        <v>0</v>
      </c>
      <c r="R4" s="164">
        <f>HOUR(Q4)*3600+MINUTE(Q4)*60+SECOND(Q4)</f>
        <v>0</v>
      </c>
      <c r="S4" s="164">
        <f t="shared" ref="S4:S15" si="4">IF(N4&gt;0,($I4*$E$20),0)</f>
        <v>0</v>
      </c>
      <c r="T4" s="331" t="s">
        <v>140</v>
      </c>
      <c r="U4" s="332" t="str">
        <f>IF(O4=1,IF(T4="No",I4,G4),"")</f>
        <v/>
      </c>
      <c r="V4" s="333">
        <f t="shared" ref="V4:V17" si="5">IF(T4="Yes",((I4-G4)*$E$20),0)</f>
        <v>0</v>
      </c>
      <c r="W4" s="333">
        <f t="shared" ref="W4:W7" si="6">IF(T4="Yes",(-(J4-H4)*R4),0)</f>
        <v>0</v>
      </c>
      <c r="X4" s="195">
        <f>R4-S4+V4</f>
        <v>0</v>
      </c>
      <c r="Y4" s="59" t="e">
        <f>IF(T4="Yes",R4*H4,R4*J4)</f>
        <v>#DIV/0!</v>
      </c>
      <c r="Z4" s="77" t="str">
        <f t="shared" ref="Z4:Z17" si="7">IF($X4=0,"",RANK($X4,$X$4:$X$17,1)-COUNTIF($X$4:$X$17,0))</f>
        <v/>
      </c>
      <c r="AA4" s="77" t="e">
        <f t="shared" ref="AA4:AA17" si="8">IF($Y4=0,"",RANK($Y4,$Y$4:$Y$17,1)-COUNTIF($Y$4:$Y$17,0))</f>
        <v>#DIV/0!</v>
      </c>
      <c r="AB4" s="169" t="e">
        <f t="shared" ref="AB4:AB15" si="9">IF($E$21="Yes",Z4,AA4)</f>
        <v>#DIV/0!</v>
      </c>
      <c r="AC4" s="173" t="e">
        <f t="shared" ref="AC4:AC15" si="10">IF($E$21="Yes",IF(Z4=1,5,IF(Z4=2,4,IF(Z4=3,3,IF(Z4=4,2,IF(Z4=5,1,0))))),IF(AA4=1,5,IF(AA4=2,4,IF(AA4=3,3,IF(AA4=4,2,IF(AA4=5,1,0))))))+L4</f>
        <v>#DIV/0!</v>
      </c>
      <c r="AD4" s="59" t="e">
        <f t="shared" ref="AD4:AD15" si="11">Y4/$E$20</f>
        <v>#DIV/0!</v>
      </c>
      <c r="AE4" s="59" t="e">
        <f t="shared" ref="AE4:AE15" si="12">IF(AD4&gt;0,((Y4/$E$20)-$E$29),0)</f>
        <v>#DIV/0!</v>
      </c>
      <c r="AF4" s="59" t="e">
        <f>IF(AE4&gt;30,30,IF(AE4&lt;-30,-30,(AE4)))</f>
        <v>#DIV/0!</v>
      </c>
      <c r="AG4" s="60" t="e">
        <f t="shared" ref="AG4:AG15" si="13">AF4*$E$22</f>
        <v>#DIV/0!</v>
      </c>
      <c r="AH4" s="165">
        <f>MIN(MAX(IF(T4="Yes",G4+AG4,G4),'Handicaps-Roster'!L6),'Handicaps-Roster'!M6)</f>
        <v>90</v>
      </c>
      <c r="AI4" s="165" t="e">
        <f>MIN(MAX(IF(T4="No",I4+AG4,I4),'Handicaps-Roster'!N6),'Handicaps-Roster'!O6)</f>
        <v>#DIV/0!</v>
      </c>
      <c r="AJ4" s="174" t="e">
        <f>AC4+'Race #4'!AJ4</f>
        <v>#DIV/0!</v>
      </c>
      <c r="AK4" s="176" t="str">
        <f>IF(O4=1,IF(T4="Yes",E4,F4),"")</f>
        <v/>
      </c>
      <c r="AL4" s="288" t="str">
        <f t="shared" ref="AL4:AL15" si="14">IFERROR((($AN$22/($E$24+AK4))*R4),"")</f>
        <v/>
      </c>
      <c r="AM4" s="156" t="e">
        <f t="shared" ref="AM4:AM17" si="15">IF($Y4=0,"",RANK($AL4,$AL$4:$AL$17,1)-COUNTIF($AL$4:$AL$17,0))</f>
        <v>#DIV/0!</v>
      </c>
      <c r="AN4" s="156" t="e">
        <f>IF(AM4=1,5,IF(AM4=2,4,IF(AM4=3,3,IF(AM4=4,2,IF(AM4=5,1,0)))))+O4</f>
        <v>#DIV/0!</v>
      </c>
      <c r="AO4" s="156" t="e">
        <f>AN4+'Race #4'!AO4</f>
        <v>#DIV/0!</v>
      </c>
      <c r="AP4" s="158" t="str">
        <f t="shared" ref="AP4:AP13" si="16">B4</f>
        <v>Estella</v>
      </c>
      <c r="AQ4" s="81"/>
      <c r="AT4" s="1" t="s">
        <v>139</v>
      </c>
    </row>
    <row r="5" spans="2:46" ht="30" customHeight="1" x14ac:dyDescent="0.2">
      <c r="B5" s="65" t="str">
        <f>'2026 Applebee Finish Summary'!I6</f>
        <v>Exit Strategy</v>
      </c>
      <c r="C5" s="423" t="str">
        <f>'2026 Applebee Finish Summary'!J6</f>
        <v>J Boats J-105</v>
      </c>
      <c r="D5" s="423" t="str">
        <f>'2026 Applebee Finish Summary'!K6</f>
        <v>John Stamos/John Woods</v>
      </c>
      <c r="E5" s="46">
        <f>'Handicaps-Roster'!G7</f>
        <v>87</v>
      </c>
      <c r="F5" s="46">
        <f>'Handicaps-Roster'!H7</f>
        <v>110</v>
      </c>
      <c r="G5" s="46">
        <f>'Race #4'!AH5</f>
        <v>78</v>
      </c>
      <c r="H5" s="58" t="e">
        <f t="shared" si="0"/>
        <v>#DIV/0!</v>
      </c>
      <c r="I5" s="46">
        <f>'Race #4'!AI5</f>
        <v>95.20691157581868</v>
      </c>
      <c r="J5" s="58" t="e">
        <f t="shared" si="1"/>
        <v>#DIV/0!</v>
      </c>
      <c r="K5" s="58" t="str">
        <f t="shared" ref="K5:K17" si="17">IF(N5&gt;0,"Yes","No")</f>
        <v>No</v>
      </c>
      <c r="L5" s="334">
        <f t="shared" si="2"/>
        <v>0</v>
      </c>
      <c r="M5" s="329"/>
      <c r="N5" s="329"/>
      <c r="O5" s="34">
        <f t="shared" ref="O5:O17" si="18">IF(N5&gt;0,1,0)</f>
        <v>0</v>
      </c>
      <c r="P5" s="330" t="str">
        <f t="shared" si="3"/>
        <v/>
      </c>
      <c r="Q5" s="160">
        <f>N5-M5</f>
        <v>0</v>
      </c>
      <c r="R5" s="161">
        <f>HOUR(Q5)*3600+MINUTE(Q5)*60+SECOND(Q5)</f>
        <v>0</v>
      </c>
      <c r="S5" s="161">
        <f t="shared" si="4"/>
        <v>0</v>
      </c>
      <c r="T5" s="331" t="s">
        <v>140</v>
      </c>
      <c r="U5" s="335" t="str">
        <f t="shared" ref="U5:U14" si="19">IF(O5=1,IF(T5="No",I5,G5),"")</f>
        <v/>
      </c>
      <c r="V5" s="336">
        <f t="shared" si="5"/>
        <v>0</v>
      </c>
      <c r="W5" s="336">
        <f t="shared" si="6"/>
        <v>0</v>
      </c>
      <c r="X5" s="161">
        <f t="shared" ref="X5:X14" si="20">R5-S5+V5</f>
        <v>0</v>
      </c>
      <c r="Y5" s="34" t="e">
        <f t="shared" ref="Y5:Y14" si="21">IF(T5="Yes",R5*H5,R5*J5)</f>
        <v>#DIV/0!</v>
      </c>
      <c r="Z5" s="62" t="str">
        <f t="shared" si="7"/>
        <v/>
      </c>
      <c r="AA5" s="62" t="e">
        <f t="shared" si="8"/>
        <v>#DIV/0!</v>
      </c>
      <c r="AB5" s="169" t="e">
        <f t="shared" si="9"/>
        <v>#DIV/0!</v>
      </c>
      <c r="AC5" s="173" t="e">
        <f t="shared" si="10"/>
        <v>#DIV/0!</v>
      </c>
      <c r="AD5" s="34" t="e">
        <f t="shared" si="11"/>
        <v>#DIV/0!</v>
      </c>
      <c r="AE5" s="34" t="e">
        <f t="shared" si="12"/>
        <v>#DIV/0!</v>
      </c>
      <c r="AF5" s="34" t="e">
        <f>IF(AE5&gt;30,30,IF(AE5&lt;-30,-30,(AE5)))</f>
        <v>#DIV/0!</v>
      </c>
      <c r="AG5" s="78" t="e">
        <f t="shared" si="13"/>
        <v>#DIV/0!</v>
      </c>
      <c r="AH5" s="166">
        <f>MIN(MAX(IF(T5="Yes",G5+AG5,G5),'Handicaps-Roster'!L7),'Handicaps-Roster'!M7)</f>
        <v>78</v>
      </c>
      <c r="AI5" s="166" t="e">
        <f>MIN(MAX(IF(T5="No",I5+AG5,I5),'Handicaps-Roster'!N7),'Handicaps-Roster'!O7)</f>
        <v>#DIV/0!</v>
      </c>
      <c r="AJ5" s="174" t="e">
        <f>AC5+'Race #4'!AJ5</f>
        <v>#DIV/0!</v>
      </c>
      <c r="AK5" s="175" t="str">
        <f t="shared" ref="AK5:AK14" si="22">IF(O5=1,IF(T5="Yes",E5,F5),"")</f>
        <v/>
      </c>
      <c r="AL5" s="155" t="str">
        <f t="shared" si="14"/>
        <v/>
      </c>
      <c r="AM5" s="156" t="e">
        <f t="shared" si="15"/>
        <v>#DIV/0!</v>
      </c>
      <c r="AN5" s="156" t="e">
        <f t="shared" ref="AN5:AN14" si="23">IF(AM5=1,5,IF(AM5=2,4,IF(AM5=3,3,IF(AM5=4,2,IF(AM5=5,1,0)))))+O5</f>
        <v>#DIV/0!</v>
      </c>
      <c r="AO5" s="156" t="e">
        <f>AN5+'Race #4'!AO5</f>
        <v>#DIV/0!</v>
      </c>
      <c r="AP5" s="120" t="str">
        <f t="shared" si="16"/>
        <v>Exit Strategy</v>
      </c>
      <c r="AQ5" s="81"/>
      <c r="AT5" s="1" t="s">
        <v>140</v>
      </c>
    </row>
    <row r="6" spans="2:46" ht="30" customHeight="1" x14ac:dyDescent="0.2">
      <c r="B6" s="65" t="str">
        <f>'2026 Applebee Finish Summary'!I7</f>
        <v>Magoo</v>
      </c>
      <c r="C6" s="423" t="str">
        <f>'2026 Applebee Finish Summary'!J7</f>
        <v>Catalina 28 MK II</v>
      </c>
      <c r="D6" s="423" t="str">
        <f>'2026 Applebee Finish Summary'!K7</f>
        <v>Steve Luebkeman</v>
      </c>
      <c r="E6" s="46">
        <f>'Handicaps-Roster'!G8</f>
        <v>205</v>
      </c>
      <c r="F6" s="46">
        <f>'Handicaps-Roster'!H8</f>
        <v>208</v>
      </c>
      <c r="G6" s="46">
        <f>'Race #4'!AH6</f>
        <v>195</v>
      </c>
      <c r="H6" s="58" t="e">
        <f t="shared" si="0"/>
        <v>#DIV/0!</v>
      </c>
      <c r="I6" s="46">
        <f>'Race #4'!AI6</f>
        <v>213</v>
      </c>
      <c r="J6" s="58" t="e">
        <f t="shared" si="1"/>
        <v>#DIV/0!</v>
      </c>
      <c r="K6" s="58" t="str">
        <f t="shared" si="17"/>
        <v>No</v>
      </c>
      <c r="L6" s="334">
        <f t="shared" si="2"/>
        <v>0</v>
      </c>
      <c r="M6" s="329"/>
      <c r="N6" s="329"/>
      <c r="O6" s="34">
        <f t="shared" si="18"/>
        <v>0</v>
      </c>
      <c r="P6" s="337" t="str">
        <f t="shared" si="3"/>
        <v/>
      </c>
      <c r="Q6" s="160">
        <f t="shared" ref="Q6:Q14" si="24">N6-M6</f>
        <v>0</v>
      </c>
      <c r="R6" s="161">
        <f t="shared" ref="R6:R14" si="25">HOUR(Q6)*3600+MINUTE(Q6)*60+SECOND(Q6)</f>
        <v>0</v>
      </c>
      <c r="S6" s="161">
        <f t="shared" si="4"/>
        <v>0</v>
      </c>
      <c r="T6" s="331" t="s">
        <v>140</v>
      </c>
      <c r="U6" s="335" t="str">
        <f t="shared" si="19"/>
        <v/>
      </c>
      <c r="V6" s="336">
        <f t="shared" si="5"/>
        <v>0</v>
      </c>
      <c r="W6" s="336">
        <f t="shared" si="6"/>
        <v>0</v>
      </c>
      <c r="X6" s="161">
        <f t="shared" si="20"/>
        <v>0</v>
      </c>
      <c r="Y6" s="34" t="e">
        <f t="shared" si="21"/>
        <v>#DIV/0!</v>
      </c>
      <c r="Z6" s="62" t="str">
        <f t="shared" si="7"/>
        <v/>
      </c>
      <c r="AA6" s="62" t="e">
        <f t="shared" si="8"/>
        <v>#DIV/0!</v>
      </c>
      <c r="AB6" s="169" t="e">
        <f t="shared" si="9"/>
        <v>#DIV/0!</v>
      </c>
      <c r="AC6" s="173" t="e">
        <f t="shared" si="10"/>
        <v>#DIV/0!</v>
      </c>
      <c r="AD6" s="34" t="e">
        <f t="shared" si="11"/>
        <v>#DIV/0!</v>
      </c>
      <c r="AE6" s="34" t="e">
        <f t="shared" si="12"/>
        <v>#DIV/0!</v>
      </c>
      <c r="AF6" s="34" t="e">
        <f t="shared" ref="AF6:AF14" si="26">IF(AE6&gt;30,30,IF(AE6&lt;-30,-30,(AE6)))</f>
        <v>#DIV/0!</v>
      </c>
      <c r="AG6" s="78" t="e">
        <f t="shared" si="13"/>
        <v>#DIV/0!</v>
      </c>
      <c r="AH6" s="166">
        <f>MIN(MAX(IF(T6="Yes",G6+AG6,G6),'Handicaps-Roster'!L8),'Handicaps-Roster'!M8)</f>
        <v>195</v>
      </c>
      <c r="AI6" s="166" t="e">
        <f>MIN(MAX(IF(T6="No",I6+AG6,I6),'Handicaps-Roster'!N8),'Handicaps-Roster'!O8)</f>
        <v>#DIV/0!</v>
      </c>
      <c r="AJ6" s="174" t="e">
        <f>AC6+'Race #4'!AJ6</f>
        <v>#DIV/0!</v>
      </c>
      <c r="AK6" s="175" t="str">
        <f t="shared" si="22"/>
        <v/>
      </c>
      <c r="AL6" s="194" t="str">
        <f t="shared" si="14"/>
        <v/>
      </c>
      <c r="AM6" s="156" t="e">
        <f t="shared" si="15"/>
        <v>#DIV/0!</v>
      </c>
      <c r="AN6" s="156" t="e">
        <f t="shared" si="23"/>
        <v>#DIV/0!</v>
      </c>
      <c r="AO6" s="156" t="e">
        <f>AN6+'Race #4'!AO6</f>
        <v>#DIV/0!</v>
      </c>
      <c r="AP6" s="120" t="str">
        <f t="shared" si="16"/>
        <v>Magoo</v>
      </c>
      <c r="AQ6" s="81"/>
    </row>
    <row r="7" spans="2:46" ht="30" customHeight="1" x14ac:dyDescent="0.2">
      <c r="B7" s="347" t="str">
        <f>'2026 Applebee Finish Summary'!I8</f>
        <v>Feng Shui</v>
      </c>
      <c r="C7" s="422" t="str">
        <f>'2026 Applebee Finish Summary'!J8</f>
        <v>C&amp;C 34</v>
      </c>
      <c r="D7" s="422" t="str">
        <f>'2026 Applebee Finish Summary'!K8</f>
        <v>Mike Finazzo</v>
      </c>
      <c r="E7" s="162">
        <f>'Handicaps-Roster'!G9</f>
        <v>157</v>
      </c>
      <c r="F7" s="162">
        <f>'Handicaps-Roster'!H9</f>
        <v>169</v>
      </c>
      <c r="G7" s="162">
        <f>'Race #4'!AH7</f>
        <v>175.1</v>
      </c>
      <c r="H7" s="61" t="e">
        <f t="shared" si="0"/>
        <v>#DIV/0!</v>
      </c>
      <c r="I7" s="162">
        <f>'Race #4'!AI7</f>
        <v>188.1227776756605</v>
      </c>
      <c r="J7" s="61" t="e">
        <f t="shared" si="1"/>
        <v>#DIV/0!</v>
      </c>
      <c r="K7" s="61" t="str">
        <f t="shared" si="17"/>
        <v>No</v>
      </c>
      <c r="L7" s="328">
        <f t="shared" si="2"/>
        <v>0</v>
      </c>
      <c r="M7" s="329"/>
      <c r="N7" s="329"/>
      <c r="O7" s="59">
        <f t="shared" si="18"/>
        <v>0</v>
      </c>
      <c r="P7" s="337" t="str">
        <f t="shared" si="3"/>
        <v/>
      </c>
      <c r="Q7" s="163">
        <f>N7-M7</f>
        <v>0</v>
      </c>
      <c r="R7" s="164">
        <f>HOUR(Q7)*3600+MINUTE(Q7)*60+SECOND(Q7)</f>
        <v>0</v>
      </c>
      <c r="S7" s="164">
        <f t="shared" si="4"/>
        <v>0</v>
      </c>
      <c r="T7" s="331" t="s">
        <v>140</v>
      </c>
      <c r="U7" s="332" t="str">
        <f t="shared" si="19"/>
        <v/>
      </c>
      <c r="V7" s="333">
        <f t="shared" si="5"/>
        <v>0</v>
      </c>
      <c r="W7" s="333">
        <f t="shared" si="6"/>
        <v>0</v>
      </c>
      <c r="X7" s="164">
        <f t="shared" si="20"/>
        <v>0</v>
      </c>
      <c r="Y7" s="59" t="e">
        <f t="shared" si="21"/>
        <v>#DIV/0!</v>
      </c>
      <c r="Z7" s="77" t="str">
        <f t="shared" si="7"/>
        <v/>
      </c>
      <c r="AA7" s="77" t="e">
        <f t="shared" si="8"/>
        <v>#DIV/0!</v>
      </c>
      <c r="AB7" s="169" t="e">
        <f t="shared" si="9"/>
        <v>#DIV/0!</v>
      </c>
      <c r="AC7" s="173" t="e">
        <f t="shared" si="10"/>
        <v>#DIV/0!</v>
      </c>
      <c r="AD7" s="59" t="e">
        <f t="shared" si="11"/>
        <v>#DIV/0!</v>
      </c>
      <c r="AE7" s="59" t="e">
        <f t="shared" si="12"/>
        <v>#DIV/0!</v>
      </c>
      <c r="AF7" s="59" t="e">
        <f>IF(AE7&gt;30,30,IF(AE7&lt;-30,-30,(AE7)))</f>
        <v>#DIV/0!</v>
      </c>
      <c r="AG7" s="60" t="e">
        <f t="shared" si="13"/>
        <v>#DIV/0!</v>
      </c>
      <c r="AH7" s="165">
        <f>MIN(MAX(IF(T7="Yes",G7+AG7,G7),'Handicaps-Roster'!L9),'Handicaps-Roster'!M9)</f>
        <v>175.1</v>
      </c>
      <c r="AI7" s="165" t="e">
        <f>MIN(MAX(IF(T7="No",I7+AG7,I7),'Handicaps-Roster'!N9),'Handicaps-Roster'!O9)</f>
        <v>#DIV/0!</v>
      </c>
      <c r="AJ7" s="174" t="e">
        <f>AC7+'Race #4'!AJ7</f>
        <v>#DIV/0!</v>
      </c>
      <c r="AK7" s="176" t="str">
        <f t="shared" si="22"/>
        <v/>
      </c>
      <c r="AL7" s="195" t="str">
        <f t="shared" si="14"/>
        <v/>
      </c>
      <c r="AM7" s="156" t="e">
        <f t="shared" si="15"/>
        <v>#DIV/0!</v>
      </c>
      <c r="AN7" s="156" t="e">
        <f t="shared" si="23"/>
        <v>#DIV/0!</v>
      </c>
      <c r="AO7" s="156" t="e">
        <f>AN7+'Race #4'!AO7</f>
        <v>#DIV/0!</v>
      </c>
      <c r="AP7" s="158" t="str">
        <f t="shared" si="16"/>
        <v>Feng Shui</v>
      </c>
      <c r="AQ7" s="81"/>
    </row>
    <row r="8" spans="2:46" ht="30" customHeight="1" x14ac:dyDescent="0.2">
      <c r="B8" s="65" t="str">
        <f>'2026 Applebee Finish Summary'!I9</f>
        <v>Grin</v>
      </c>
      <c r="C8" s="423" t="str">
        <f>'2026 Applebee Finish Summary'!J9</f>
        <v>Ericson 32-200</v>
      </c>
      <c r="D8" s="423" t="str">
        <f>'2026 Applebee Finish Summary'!K9</f>
        <v>John Woomer</v>
      </c>
      <c r="E8" s="46">
        <f>'Handicaps-Roster'!G10</f>
        <v>165</v>
      </c>
      <c r="F8" s="46">
        <f>'Handicaps-Roster'!H10</f>
        <v>177</v>
      </c>
      <c r="G8" s="46">
        <f>'Race #4'!AH8</f>
        <v>198</v>
      </c>
      <c r="H8" s="58" t="e">
        <f t="shared" si="0"/>
        <v>#DIV/0!</v>
      </c>
      <c r="I8" s="46">
        <f>'Race #4'!AI8</f>
        <v>210.16583579676276</v>
      </c>
      <c r="J8" s="58" t="e">
        <f t="shared" si="1"/>
        <v>#DIV/0!</v>
      </c>
      <c r="K8" s="58" t="str">
        <f t="shared" si="17"/>
        <v>No</v>
      </c>
      <c r="L8" s="334">
        <f t="shared" si="2"/>
        <v>0</v>
      </c>
      <c r="M8" s="329"/>
      <c r="N8" s="329"/>
      <c r="O8" s="34">
        <f t="shared" si="18"/>
        <v>0</v>
      </c>
      <c r="P8" s="337" t="str">
        <f t="shared" si="3"/>
        <v/>
      </c>
      <c r="Q8" s="160">
        <f t="shared" si="24"/>
        <v>0</v>
      </c>
      <c r="R8" s="161">
        <f t="shared" si="25"/>
        <v>0</v>
      </c>
      <c r="S8" s="161">
        <f t="shared" si="4"/>
        <v>0</v>
      </c>
      <c r="T8" s="331" t="s">
        <v>140</v>
      </c>
      <c r="U8" s="335" t="str">
        <f t="shared" si="19"/>
        <v/>
      </c>
      <c r="V8" s="333">
        <f t="shared" si="5"/>
        <v>0</v>
      </c>
      <c r="W8" s="336">
        <f>IF(T8="Yes",(-(J8-H8)*R8),0)</f>
        <v>0</v>
      </c>
      <c r="X8" s="161">
        <f>R8-S8+V8</f>
        <v>0</v>
      </c>
      <c r="Y8" s="34" t="e">
        <f>IF(T8="Yes",R8*H8,R8*J8)</f>
        <v>#DIV/0!</v>
      </c>
      <c r="Z8" s="62" t="str">
        <f t="shared" si="7"/>
        <v/>
      </c>
      <c r="AA8" s="62" t="e">
        <f t="shared" si="8"/>
        <v>#DIV/0!</v>
      </c>
      <c r="AB8" s="169" t="e">
        <f t="shared" si="9"/>
        <v>#DIV/0!</v>
      </c>
      <c r="AC8" s="173" t="e">
        <f t="shared" si="10"/>
        <v>#DIV/0!</v>
      </c>
      <c r="AD8" s="34" t="e">
        <f t="shared" si="11"/>
        <v>#DIV/0!</v>
      </c>
      <c r="AE8" s="34" t="e">
        <f t="shared" si="12"/>
        <v>#DIV/0!</v>
      </c>
      <c r="AF8" s="34" t="e">
        <f t="shared" si="26"/>
        <v>#DIV/0!</v>
      </c>
      <c r="AG8" s="78" t="e">
        <f t="shared" si="13"/>
        <v>#DIV/0!</v>
      </c>
      <c r="AH8" s="166">
        <f>MIN(MAX(IF(T8="Yes",G8+AG8,G8),'Handicaps-Roster'!L10),'Handicaps-Roster'!M10)</f>
        <v>198</v>
      </c>
      <c r="AI8" s="166" t="e">
        <f>MIN(MAX(IF(T8="No",I8+AG8,I8),'Handicaps-Roster'!N10),'Handicaps-Roster'!O10)</f>
        <v>#DIV/0!</v>
      </c>
      <c r="AJ8" s="174" t="e">
        <f>AC8+'Race #4'!AJ8</f>
        <v>#DIV/0!</v>
      </c>
      <c r="AK8" s="175" t="str">
        <f t="shared" si="22"/>
        <v/>
      </c>
      <c r="AL8" s="194" t="str">
        <f t="shared" si="14"/>
        <v/>
      </c>
      <c r="AM8" s="156" t="e">
        <f t="shared" si="15"/>
        <v>#DIV/0!</v>
      </c>
      <c r="AN8" s="156" t="e">
        <f t="shared" si="23"/>
        <v>#DIV/0!</v>
      </c>
      <c r="AO8" s="156" t="e">
        <f>AN8+'Race #4'!AO8</f>
        <v>#DIV/0!</v>
      </c>
      <c r="AP8" s="120" t="str">
        <f t="shared" si="16"/>
        <v>Grin</v>
      </c>
      <c r="AQ8" s="81"/>
    </row>
    <row r="9" spans="2:46" ht="30" customHeight="1" x14ac:dyDescent="0.2">
      <c r="B9" s="347" t="str">
        <f>'2026 Applebee Finish Summary'!I10</f>
        <v>Kristin B II</v>
      </c>
      <c r="C9" s="422" t="str">
        <f>'2026 Applebee Finish Summary'!J10</f>
        <v>Catalina 36 TM</v>
      </c>
      <c r="D9" s="422" t="str">
        <f>'2026 Applebee Finish Summary'!K10</f>
        <v>Mike Cann</v>
      </c>
      <c r="E9" s="162">
        <f>'Handicaps-Roster'!G11</f>
        <v>154</v>
      </c>
      <c r="F9" s="162">
        <f>'Handicaps-Roster'!H11</f>
        <v>163</v>
      </c>
      <c r="G9" s="162">
        <f>'Race #4'!AH9</f>
        <v>179.3</v>
      </c>
      <c r="H9" s="61" t="e">
        <f t="shared" si="0"/>
        <v>#DIV/0!</v>
      </c>
      <c r="I9" s="162">
        <f>'Race #4'!AI9</f>
        <v>193.0432875675497</v>
      </c>
      <c r="J9" s="61" t="e">
        <f t="shared" si="1"/>
        <v>#DIV/0!</v>
      </c>
      <c r="K9" s="61" t="str">
        <f t="shared" si="17"/>
        <v>No</v>
      </c>
      <c r="L9" s="328">
        <f t="shared" si="2"/>
        <v>0</v>
      </c>
      <c r="M9" s="329"/>
      <c r="N9" s="329"/>
      <c r="O9" s="59">
        <f t="shared" si="18"/>
        <v>0</v>
      </c>
      <c r="P9" s="337" t="str">
        <f t="shared" si="3"/>
        <v/>
      </c>
      <c r="Q9" s="163">
        <f t="shared" si="24"/>
        <v>0</v>
      </c>
      <c r="R9" s="164">
        <f t="shared" si="25"/>
        <v>0</v>
      </c>
      <c r="S9" s="164">
        <f t="shared" si="4"/>
        <v>0</v>
      </c>
      <c r="T9" s="331" t="s">
        <v>140</v>
      </c>
      <c r="U9" s="332" t="str">
        <f t="shared" si="19"/>
        <v/>
      </c>
      <c r="V9" s="333">
        <f t="shared" si="5"/>
        <v>0</v>
      </c>
      <c r="W9" s="333">
        <f t="shared" ref="W9:W17" si="27">IF(T9="Yes",(-(J9-H9)*R9),0)</f>
        <v>0</v>
      </c>
      <c r="X9" s="164">
        <f>R9-S9+V9</f>
        <v>0</v>
      </c>
      <c r="Y9" s="59" t="e">
        <f t="shared" si="21"/>
        <v>#DIV/0!</v>
      </c>
      <c r="Z9" s="77" t="str">
        <f t="shared" si="7"/>
        <v/>
      </c>
      <c r="AA9" s="77" t="e">
        <f t="shared" si="8"/>
        <v>#DIV/0!</v>
      </c>
      <c r="AB9" s="169" t="e">
        <f t="shared" si="9"/>
        <v>#DIV/0!</v>
      </c>
      <c r="AC9" s="173" t="e">
        <f t="shared" si="10"/>
        <v>#DIV/0!</v>
      </c>
      <c r="AD9" s="59" t="e">
        <f t="shared" si="11"/>
        <v>#DIV/0!</v>
      </c>
      <c r="AE9" s="59" t="e">
        <f t="shared" si="12"/>
        <v>#DIV/0!</v>
      </c>
      <c r="AF9" s="59" t="e">
        <f t="shared" si="26"/>
        <v>#DIV/0!</v>
      </c>
      <c r="AG9" s="60" t="e">
        <f t="shared" si="13"/>
        <v>#DIV/0!</v>
      </c>
      <c r="AH9" s="165">
        <f>MIN(MAX(IF(T9="Yes",G9+AG9,G9),'Handicaps-Roster'!L11),'Handicaps-Roster'!M11)</f>
        <v>179.3</v>
      </c>
      <c r="AI9" s="165" t="e">
        <f>MIN(MAX(IF(T9="No",I9+AG9,I9),'Handicaps-Roster'!N11),'Handicaps-Roster'!O11)</f>
        <v>#DIV/0!</v>
      </c>
      <c r="AJ9" s="174" t="e">
        <f>AC9+'Race #4'!AJ9</f>
        <v>#DIV/0!</v>
      </c>
      <c r="AK9" s="176" t="str">
        <f t="shared" si="22"/>
        <v/>
      </c>
      <c r="AL9" s="195" t="str">
        <f t="shared" si="14"/>
        <v/>
      </c>
      <c r="AM9" s="156" t="e">
        <f t="shared" si="15"/>
        <v>#DIV/0!</v>
      </c>
      <c r="AN9" s="156" t="e">
        <f t="shared" si="23"/>
        <v>#DIV/0!</v>
      </c>
      <c r="AO9" s="156" t="e">
        <f>AN9+'Race #4'!AO9</f>
        <v>#DIV/0!</v>
      </c>
      <c r="AP9" s="158" t="str">
        <f t="shared" si="16"/>
        <v>Kristin B II</v>
      </c>
      <c r="AQ9" s="81"/>
    </row>
    <row r="10" spans="2:46" ht="30" customHeight="1" x14ac:dyDescent="0.2">
      <c r="B10" s="65" t="str">
        <f>'2026 Applebee Finish Summary'!I11</f>
        <v>MacGuffin</v>
      </c>
      <c r="C10" s="423" t="str">
        <f>'2026 Applebee Finish Summary'!J11</f>
        <v>Shock Harbor 25</v>
      </c>
      <c r="D10" s="423" t="str">
        <f>'2026 Applebee Finish Summary'!K11</f>
        <v>Darryl Rosenbaum</v>
      </c>
      <c r="E10" s="46">
        <f>'Handicaps-Roster'!G12</f>
        <v>204</v>
      </c>
      <c r="F10" s="46">
        <f>'Handicaps-Roster'!H12</f>
        <v>204</v>
      </c>
      <c r="G10" s="46">
        <f>'Race #4'!AH10</f>
        <v>204</v>
      </c>
      <c r="H10" s="58" t="e">
        <f t="shared" si="0"/>
        <v>#DIV/0!</v>
      </c>
      <c r="I10" s="46">
        <f>'Race #4'!AI10</f>
        <v>205.64990519776811</v>
      </c>
      <c r="J10" s="58" t="e">
        <f t="shared" si="1"/>
        <v>#DIV/0!</v>
      </c>
      <c r="K10" s="58" t="str">
        <f t="shared" si="17"/>
        <v>No</v>
      </c>
      <c r="L10" s="334">
        <f t="shared" si="2"/>
        <v>0</v>
      </c>
      <c r="M10" s="329"/>
      <c r="N10" s="329"/>
      <c r="O10" s="34">
        <f t="shared" si="18"/>
        <v>0</v>
      </c>
      <c r="P10" s="337" t="str">
        <f t="shared" si="3"/>
        <v/>
      </c>
      <c r="Q10" s="160">
        <f t="shared" si="24"/>
        <v>0</v>
      </c>
      <c r="R10" s="161">
        <f t="shared" si="25"/>
        <v>0</v>
      </c>
      <c r="S10" s="161">
        <f t="shared" si="4"/>
        <v>0</v>
      </c>
      <c r="T10" s="331" t="s">
        <v>140</v>
      </c>
      <c r="U10" s="335" t="str">
        <f t="shared" si="19"/>
        <v/>
      </c>
      <c r="V10" s="336">
        <f t="shared" si="5"/>
        <v>0</v>
      </c>
      <c r="W10" s="336">
        <f t="shared" si="27"/>
        <v>0</v>
      </c>
      <c r="X10" s="161">
        <f t="shared" si="20"/>
        <v>0</v>
      </c>
      <c r="Y10" s="34" t="e">
        <f t="shared" si="21"/>
        <v>#DIV/0!</v>
      </c>
      <c r="Z10" s="62" t="str">
        <f t="shared" si="7"/>
        <v/>
      </c>
      <c r="AA10" s="62" t="e">
        <f t="shared" si="8"/>
        <v>#DIV/0!</v>
      </c>
      <c r="AB10" s="169" t="e">
        <f t="shared" si="9"/>
        <v>#DIV/0!</v>
      </c>
      <c r="AC10" s="173" t="e">
        <f t="shared" si="10"/>
        <v>#DIV/0!</v>
      </c>
      <c r="AD10" s="34" t="e">
        <f t="shared" si="11"/>
        <v>#DIV/0!</v>
      </c>
      <c r="AE10" s="34" t="e">
        <f t="shared" si="12"/>
        <v>#DIV/0!</v>
      </c>
      <c r="AF10" s="34" t="e">
        <f t="shared" si="26"/>
        <v>#DIV/0!</v>
      </c>
      <c r="AG10" s="78" t="e">
        <f t="shared" si="13"/>
        <v>#DIV/0!</v>
      </c>
      <c r="AH10" s="166">
        <f>MIN(MAX(IF(T10="Yes",G10+AG10,G10),'Handicaps-Roster'!L12),'Handicaps-Roster'!M12)</f>
        <v>204</v>
      </c>
      <c r="AI10" s="166" t="e">
        <f>MIN(MAX(IF(T10="No",I10+AG10,I10),'Handicaps-Roster'!N12),'Handicaps-Roster'!O12)</f>
        <v>#DIV/0!</v>
      </c>
      <c r="AJ10" s="174" t="e">
        <f>AC10+'Race #4'!AJ10</f>
        <v>#DIV/0!</v>
      </c>
      <c r="AK10" s="175" t="str">
        <f t="shared" si="22"/>
        <v/>
      </c>
      <c r="AL10" s="194" t="str">
        <f t="shared" si="14"/>
        <v/>
      </c>
      <c r="AM10" s="156" t="e">
        <f t="shared" si="15"/>
        <v>#DIV/0!</v>
      </c>
      <c r="AN10" s="156" t="e">
        <f t="shared" si="23"/>
        <v>#DIV/0!</v>
      </c>
      <c r="AO10" s="156" t="e">
        <f>AN10+'Race #4'!AO10</f>
        <v>#DIV/0!</v>
      </c>
      <c r="AP10" s="120" t="str">
        <f t="shared" si="16"/>
        <v>MacGuffin</v>
      </c>
      <c r="AQ10" s="81"/>
    </row>
    <row r="11" spans="2:46" ht="30" customHeight="1" x14ac:dyDescent="0.2">
      <c r="B11" s="347" t="str">
        <f>'2026 Applebee Finish Summary'!I12</f>
        <v>Mirabelle</v>
      </c>
      <c r="C11" s="422" t="str">
        <f>'2026 Applebee Finish Summary'!J12</f>
        <v>Cape Dory 32</v>
      </c>
      <c r="D11" s="422" t="str">
        <f>'2026 Applebee Finish Summary'!K12</f>
        <v>Campbell McLeod</v>
      </c>
      <c r="E11" s="162">
        <f>'Handicaps-Roster'!G13</f>
        <v>204</v>
      </c>
      <c r="F11" s="162">
        <f>'Handicaps-Roster'!H13</f>
        <v>216</v>
      </c>
      <c r="G11" s="162">
        <f>'Race #4'!AH11</f>
        <v>233.5</v>
      </c>
      <c r="H11" s="61" t="e">
        <f t="shared" si="0"/>
        <v>#DIV/0!</v>
      </c>
      <c r="I11" s="162">
        <f>'Race #4'!AI11</f>
        <v>245.27641500889698</v>
      </c>
      <c r="J11" s="61" t="e">
        <f t="shared" si="1"/>
        <v>#DIV/0!</v>
      </c>
      <c r="K11" s="61" t="str">
        <f t="shared" si="17"/>
        <v>No</v>
      </c>
      <c r="L11" s="328">
        <f t="shared" si="2"/>
        <v>0</v>
      </c>
      <c r="M11" s="329"/>
      <c r="N11" s="329"/>
      <c r="O11" s="59">
        <f t="shared" si="18"/>
        <v>0</v>
      </c>
      <c r="P11" s="337" t="str">
        <f t="shared" si="3"/>
        <v/>
      </c>
      <c r="Q11" s="163">
        <f t="shared" si="24"/>
        <v>0</v>
      </c>
      <c r="R11" s="164">
        <f t="shared" si="25"/>
        <v>0</v>
      </c>
      <c r="S11" s="164">
        <f t="shared" si="4"/>
        <v>0</v>
      </c>
      <c r="T11" s="331" t="s">
        <v>140</v>
      </c>
      <c r="U11" s="332" t="str">
        <f t="shared" si="19"/>
        <v/>
      </c>
      <c r="V11" s="333">
        <f t="shared" si="5"/>
        <v>0</v>
      </c>
      <c r="W11" s="333">
        <f t="shared" si="27"/>
        <v>0</v>
      </c>
      <c r="X11" s="164">
        <f t="shared" si="20"/>
        <v>0</v>
      </c>
      <c r="Y11" s="59" t="e">
        <f t="shared" si="21"/>
        <v>#DIV/0!</v>
      </c>
      <c r="Z11" s="77" t="str">
        <f t="shared" si="7"/>
        <v/>
      </c>
      <c r="AA11" s="77" t="e">
        <f t="shared" si="8"/>
        <v>#DIV/0!</v>
      </c>
      <c r="AB11" s="169" t="e">
        <f t="shared" si="9"/>
        <v>#DIV/0!</v>
      </c>
      <c r="AC11" s="173" t="e">
        <f t="shared" si="10"/>
        <v>#DIV/0!</v>
      </c>
      <c r="AD11" s="59" t="e">
        <f t="shared" si="11"/>
        <v>#DIV/0!</v>
      </c>
      <c r="AE11" s="59" t="e">
        <f t="shared" si="12"/>
        <v>#DIV/0!</v>
      </c>
      <c r="AF11" s="59" t="e">
        <f t="shared" si="26"/>
        <v>#DIV/0!</v>
      </c>
      <c r="AG11" s="60" t="e">
        <f t="shared" si="13"/>
        <v>#DIV/0!</v>
      </c>
      <c r="AH11" s="165">
        <f>MIN(MAX(IF(T11="Yes",G11+AG11,G11),'Handicaps-Roster'!L13),'Handicaps-Roster'!M13)</f>
        <v>233.5</v>
      </c>
      <c r="AI11" s="165" t="e">
        <f>MIN(MAX(IF(T11="No",I11+AG11,I11),'Handicaps-Roster'!N13),'Handicaps-Roster'!O13)</f>
        <v>#DIV/0!</v>
      </c>
      <c r="AJ11" s="174" t="e">
        <f>AC11+'Race #4'!AJ11</f>
        <v>#DIV/0!</v>
      </c>
      <c r="AK11" s="176" t="str">
        <f t="shared" si="22"/>
        <v/>
      </c>
      <c r="AL11" s="195" t="str">
        <f t="shared" si="14"/>
        <v/>
      </c>
      <c r="AM11" s="156" t="e">
        <f t="shared" si="15"/>
        <v>#DIV/0!</v>
      </c>
      <c r="AN11" s="156" t="e">
        <f t="shared" si="23"/>
        <v>#DIV/0!</v>
      </c>
      <c r="AO11" s="156" t="e">
        <f>AN11+'Race #4'!AO11</f>
        <v>#DIV/0!</v>
      </c>
      <c r="AP11" s="158" t="str">
        <f t="shared" si="16"/>
        <v>Mirabelle</v>
      </c>
      <c r="AQ11" s="81"/>
    </row>
    <row r="12" spans="2:46" ht="30" customHeight="1" x14ac:dyDescent="0.2">
      <c r="B12" s="65" t="str">
        <f>'2026 Applebee Finish Summary'!I13</f>
        <v>Outrageous</v>
      </c>
      <c r="C12" s="423" t="str">
        <f>'2026 Applebee Finish Summary'!J13</f>
        <v>Tanzer 22</v>
      </c>
      <c r="D12" s="423" t="str">
        <f>'2026 Applebee Finish Summary'!K13</f>
        <v>Don Webb</v>
      </c>
      <c r="E12" s="46">
        <f>'Handicaps-Roster'!G14</f>
        <v>254</v>
      </c>
      <c r="F12" s="46">
        <f>'Handicaps-Roster'!H14</f>
        <v>261</v>
      </c>
      <c r="G12" s="46">
        <f>'Race #4'!AH12</f>
        <v>252.6</v>
      </c>
      <c r="H12" s="58" t="e">
        <f t="shared" si="0"/>
        <v>#DIV/0!</v>
      </c>
      <c r="I12" s="46">
        <f>'Race #4'!AI12</f>
        <v>254.87354205906888</v>
      </c>
      <c r="J12" s="58" t="e">
        <f t="shared" si="1"/>
        <v>#DIV/0!</v>
      </c>
      <c r="K12" s="58" t="str">
        <f t="shared" si="17"/>
        <v>No</v>
      </c>
      <c r="L12" s="334">
        <f t="shared" si="2"/>
        <v>0</v>
      </c>
      <c r="M12" s="329"/>
      <c r="N12" s="329"/>
      <c r="O12" s="34">
        <f t="shared" si="18"/>
        <v>0</v>
      </c>
      <c r="P12" s="337" t="str">
        <f t="shared" si="3"/>
        <v/>
      </c>
      <c r="Q12" s="160">
        <f t="shared" si="24"/>
        <v>0</v>
      </c>
      <c r="R12" s="161">
        <f t="shared" si="25"/>
        <v>0</v>
      </c>
      <c r="S12" s="161">
        <f t="shared" si="4"/>
        <v>0</v>
      </c>
      <c r="T12" s="331" t="s">
        <v>140</v>
      </c>
      <c r="U12" s="335" t="str">
        <f t="shared" si="19"/>
        <v/>
      </c>
      <c r="V12" s="336">
        <f t="shared" si="5"/>
        <v>0</v>
      </c>
      <c r="W12" s="336">
        <f t="shared" si="27"/>
        <v>0</v>
      </c>
      <c r="X12" s="161">
        <f t="shared" si="20"/>
        <v>0</v>
      </c>
      <c r="Y12" s="34" t="e">
        <f t="shared" si="21"/>
        <v>#DIV/0!</v>
      </c>
      <c r="Z12" s="62" t="str">
        <f t="shared" si="7"/>
        <v/>
      </c>
      <c r="AA12" s="62" t="e">
        <f t="shared" si="8"/>
        <v>#DIV/0!</v>
      </c>
      <c r="AB12" s="169" t="e">
        <f t="shared" si="9"/>
        <v>#DIV/0!</v>
      </c>
      <c r="AC12" s="173" t="e">
        <f t="shared" si="10"/>
        <v>#DIV/0!</v>
      </c>
      <c r="AD12" s="34" t="e">
        <f t="shared" si="11"/>
        <v>#DIV/0!</v>
      </c>
      <c r="AE12" s="34" t="e">
        <f t="shared" si="12"/>
        <v>#DIV/0!</v>
      </c>
      <c r="AF12" s="34" t="e">
        <f t="shared" si="26"/>
        <v>#DIV/0!</v>
      </c>
      <c r="AG12" s="78" t="e">
        <f t="shared" si="13"/>
        <v>#DIV/0!</v>
      </c>
      <c r="AH12" s="166">
        <f>MIN(MAX(IF(T12="Yes",G12+AG12,G12),'Handicaps-Roster'!L14),'Handicaps-Roster'!M14)</f>
        <v>252.6</v>
      </c>
      <c r="AI12" s="166" t="e">
        <f>MIN(MAX(IF(T12="No",I12+AG12,I12),'Handicaps-Roster'!N14),'Handicaps-Roster'!O14)</f>
        <v>#DIV/0!</v>
      </c>
      <c r="AJ12" s="174" t="e">
        <f>AC12+'Race #4'!AJ12</f>
        <v>#DIV/0!</v>
      </c>
      <c r="AK12" s="175" t="str">
        <f t="shared" si="22"/>
        <v/>
      </c>
      <c r="AL12" s="194" t="str">
        <f t="shared" si="14"/>
        <v/>
      </c>
      <c r="AM12" s="156" t="e">
        <f t="shared" si="15"/>
        <v>#DIV/0!</v>
      </c>
      <c r="AN12" s="156" t="e">
        <f t="shared" si="23"/>
        <v>#DIV/0!</v>
      </c>
      <c r="AO12" s="156" t="e">
        <f>AN12+'Race #4'!AO12</f>
        <v>#DIV/0!</v>
      </c>
      <c r="AP12" s="120" t="str">
        <f t="shared" si="16"/>
        <v>Outrageous</v>
      </c>
      <c r="AQ12" s="81"/>
    </row>
    <row r="13" spans="2:46" ht="30" customHeight="1" x14ac:dyDescent="0.2">
      <c r="B13" s="347" t="str">
        <f>'2026 Applebee Finish Summary'!I14</f>
        <v>Paradox</v>
      </c>
      <c r="C13" s="422" t="str">
        <f>'2026 Applebee Finish Summary'!J14</f>
        <v>J 92</v>
      </c>
      <c r="D13" s="422" t="str">
        <f>'2026 Applebee Finish Summary'!K14</f>
        <v>Glenn VanOtteren/Ted Standiford</v>
      </c>
      <c r="E13" s="162">
        <f>'Handicaps-Roster'!G15</f>
        <v>111</v>
      </c>
      <c r="F13" s="162">
        <f>'Handicaps-Roster'!H15</f>
        <v>132</v>
      </c>
      <c r="G13" s="162">
        <f>'Race #4'!AH13</f>
        <v>94.35</v>
      </c>
      <c r="H13" s="61" t="e">
        <f t="shared" si="0"/>
        <v>#DIV/0!</v>
      </c>
      <c r="I13" s="162">
        <f>'Race #4'!AI13</f>
        <v>114.26693790868902</v>
      </c>
      <c r="J13" s="61" t="e">
        <f t="shared" si="1"/>
        <v>#DIV/0!</v>
      </c>
      <c r="K13" s="61" t="str">
        <f t="shared" si="17"/>
        <v>No</v>
      </c>
      <c r="L13" s="328">
        <f t="shared" si="2"/>
        <v>0</v>
      </c>
      <c r="M13" s="329"/>
      <c r="N13" s="329"/>
      <c r="O13" s="59">
        <f t="shared" si="18"/>
        <v>0</v>
      </c>
      <c r="P13" s="337" t="str">
        <f t="shared" si="3"/>
        <v/>
      </c>
      <c r="Q13" s="163">
        <f t="shared" si="24"/>
        <v>0</v>
      </c>
      <c r="R13" s="164">
        <f t="shared" si="25"/>
        <v>0</v>
      </c>
      <c r="S13" s="164">
        <f t="shared" si="4"/>
        <v>0</v>
      </c>
      <c r="T13" s="331" t="s">
        <v>140</v>
      </c>
      <c r="U13" s="165" t="str">
        <f t="shared" si="19"/>
        <v/>
      </c>
      <c r="V13" s="333">
        <f t="shared" si="5"/>
        <v>0</v>
      </c>
      <c r="W13" s="333">
        <f t="shared" si="27"/>
        <v>0</v>
      </c>
      <c r="X13" s="164">
        <f t="shared" si="20"/>
        <v>0</v>
      </c>
      <c r="Y13" s="59" t="e">
        <f t="shared" si="21"/>
        <v>#DIV/0!</v>
      </c>
      <c r="Z13" s="77" t="str">
        <f t="shared" si="7"/>
        <v/>
      </c>
      <c r="AA13" s="77" t="e">
        <f t="shared" si="8"/>
        <v>#DIV/0!</v>
      </c>
      <c r="AB13" s="169" t="e">
        <f t="shared" si="9"/>
        <v>#DIV/0!</v>
      </c>
      <c r="AC13" s="173" t="e">
        <f t="shared" si="10"/>
        <v>#DIV/0!</v>
      </c>
      <c r="AD13" s="59" t="e">
        <f t="shared" si="11"/>
        <v>#DIV/0!</v>
      </c>
      <c r="AE13" s="59" t="e">
        <f t="shared" si="12"/>
        <v>#DIV/0!</v>
      </c>
      <c r="AF13" s="59" t="e">
        <f t="shared" si="26"/>
        <v>#DIV/0!</v>
      </c>
      <c r="AG13" s="60" t="e">
        <f t="shared" si="13"/>
        <v>#DIV/0!</v>
      </c>
      <c r="AH13" s="165">
        <f>MIN(MAX(IF(T13="Yes",G13+AG13,G13),'Handicaps-Roster'!L15),'Handicaps-Roster'!M15)</f>
        <v>94.35</v>
      </c>
      <c r="AI13" s="165" t="e">
        <f>MIN(MAX(IF(T13="No",I13+AG13,I13),'Handicaps-Roster'!N15),'Handicaps-Roster'!O15)</f>
        <v>#DIV/0!</v>
      </c>
      <c r="AJ13" s="174" t="e">
        <f>AC13+'Race #4'!AJ13</f>
        <v>#DIV/0!</v>
      </c>
      <c r="AK13" s="176" t="str">
        <f t="shared" si="22"/>
        <v/>
      </c>
      <c r="AL13" s="195" t="str">
        <f t="shared" si="14"/>
        <v/>
      </c>
      <c r="AM13" s="156" t="e">
        <f t="shared" si="15"/>
        <v>#DIV/0!</v>
      </c>
      <c r="AN13" s="156" t="e">
        <f t="shared" si="23"/>
        <v>#DIV/0!</v>
      </c>
      <c r="AO13" s="156" t="e">
        <f>AN13+'Race #4'!AO13</f>
        <v>#DIV/0!</v>
      </c>
      <c r="AP13" s="158" t="str">
        <f t="shared" si="16"/>
        <v>Paradox</v>
      </c>
      <c r="AQ13" s="81"/>
    </row>
    <row r="14" spans="2:46" ht="30" customHeight="1" x14ac:dyDescent="0.2">
      <c r="B14" s="65" t="str">
        <f>'2026 Applebee Finish Summary'!I15</f>
        <v>Pegasus</v>
      </c>
      <c r="C14" s="423" t="str">
        <f>'2026 Applebee Finish Summary'!J15</f>
        <v>Catalina 320</v>
      </c>
      <c r="D14" s="423" t="str">
        <f>'2026 Applebee Finish Summary'!K15</f>
        <v>Bill Allen</v>
      </c>
      <c r="E14" s="46">
        <f>'Handicaps-Roster'!G16</f>
        <v>162</v>
      </c>
      <c r="F14" s="46">
        <f>'Handicaps-Roster'!H16</f>
        <v>171</v>
      </c>
      <c r="G14" s="46">
        <f>'Race #4'!AH14</f>
        <v>137.69999999999999</v>
      </c>
      <c r="H14" s="58" t="e">
        <f t="shared" si="0"/>
        <v>#DIV/0!</v>
      </c>
      <c r="I14" s="46">
        <f>'Race #4'!AI14</f>
        <v>146.67969019901307</v>
      </c>
      <c r="J14" s="58" t="e">
        <f t="shared" si="1"/>
        <v>#DIV/0!</v>
      </c>
      <c r="K14" s="58" t="str">
        <f t="shared" si="17"/>
        <v>No</v>
      </c>
      <c r="L14" s="334">
        <f t="shared" si="2"/>
        <v>0</v>
      </c>
      <c r="M14" s="329"/>
      <c r="N14" s="329"/>
      <c r="O14" s="34">
        <f t="shared" si="18"/>
        <v>0</v>
      </c>
      <c r="P14" s="337" t="str">
        <f t="shared" si="3"/>
        <v/>
      </c>
      <c r="Q14" s="160">
        <f t="shared" si="24"/>
        <v>0</v>
      </c>
      <c r="R14" s="161">
        <f t="shared" si="25"/>
        <v>0</v>
      </c>
      <c r="S14" s="161">
        <f t="shared" si="4"/>
        <v>0</v>
      </c>
      <c r="T14" s="331" t="s">
        <v>140</v>
      </c>
      <c r="U14" s="335" t="str">
        <f t="shared" si="19"/>
        <v/>
      </c>
      <c r="V14" s="336">
        <f t="shared" si="5"/>
        <v>0</v>
      </c>
      <c r="W14" s="336">
        <f t="shared" si="27"/>
        <v>0</v>
      </c>
      <c r="X14" s="161">
        <f t="shared" si="20"/>
        <v>0</v>
      </c>
      <c r="Y14" s="34" t="e">
        <f t="shared" si="21"/>
        <v>#DIV/0!</v>
      </c>
      <c r="Z14" s="62" t="str">
        <f t="shared" si="7"/>
        <v/>
      </c>
      <c r="AA14" s="62" t="e">
        <f t="shared" si="8"/>
        <v>#DIV/0!</v>
      </c>
      <c r="AB14" s="169" t="e">
        <f t="shared" si="9"/>
        <v>#DIV/0!</v>
      </c>
      <c r="AC14" s="173" t="e">
        <f t="shared" si="10"/>
        <v>#DIV/0!</v>
      </c>
      <c r="AD14" s="34" t="e">
        <f t="shared" si="11"/>
        <v>#DIV/0!</v>
      </c>
      <c r="AE14" s="34" t="e">
        <f t="shared" si="12"/>
        <v>#DIV/0!</v>
      </c>
      <c r="AF14" s="34" t="e">
        <f t="shared" si="26"/>
        <v>#DIV/0!</v>
      </c>
      <c r="AG14" s="78" t="e">
        <f t="shared" si="13"/>
        <v>#DIV/0!</v>
      </c>
      <c r="AH14" s="166">
        <f>MIN(MAX(IF(T14="Yes",G14+AG14,G14),'Handicaps-Roster'!L16),'Handicaps-Roster'!M16)</f>
        <v>137.69999999999999</v>
      </c>
      <c r="AI14" s="166" t="e">
        <f>MIN(MAX(IF(T14="No",I14+AG14,I14),'Handicaps-Roster'!N16),'Handicaps-Roster'!O16)</f>
        <v>#DIV/0!</v>
      </c>
      <c r="AJ14" s="174" t="e">
        <f>AC14+'Race #4'!AJ14</f>
        <v>#DIV/0!</v>
      </c>
      <c r="AK14" s="175" t="str">
        <f t="shared" si="22"/>
        <v/>
      </c>
      <c r="AL14" s="194" t="str">
        <f t="shared" si="14"/>
        <v/>
      </c>
      <c r="AM14" s="156" t="e">
        <f t="shared" si="15"/>
        <v>#DIV/0!</v>
      </c>
      <c r="AN14" s="156" t="e">
        <f t="shared" si="23"/>
        <v>#DIV/0!</v>
      </c>
      <c r="AO14" s="156" t="e">
        <f>AN14+'Race #4'!AO14</f>
        <v>#DIV/0!</v>
      </c>
      <c r="AP14" s="120" t="str">
        <f>B14</f>
        <v>Pegasus</v>
      </c>
      <c r="AQ14" s="81"/>
    </row>
    <row r="15" spans="2:46" ht="30" customHeight="1" x14ac:dyDescent="0.2">
      <c r="B15" s="348" t="str">
        <f>'2026 Applebee Finish Summary'!I16</f>
        <v>Triton</v>
      </c>
      <c r="C15" s="424" t="str">
        <f>'2026 Applebee Finish Summary'!J16</f>
        <v>Hans Christian 43</v>
      </c>
      <c r="D15" s="424" t="str">
        <f>'2026 Applebee Finish Summary'!K16</f>
        <v>Alex Parks</v>
      </c>
      <c r="E15" s="46">
        <f>'Handicaps-Roster'!G17</f>
        <v>162</v>
      </c>
      <c r="F15" s="46">
        <f>'Handicaps-Roster'!H17</f>
        <v>177</v>
      </c>
      <c r="G15" s="46">
        <f>'Race #4'!AH15</f>
        <v>194.4</v>
      </c>
      <c r="H15" s="58" t="e">
        <f t="shared" si="0"/>
        <v>#DIV/0!</v>
      </c>
      <c r="I15" s="46">
        <f>'Race #4'!AI15</f>
        <v>212.4</v>
      </c>
      <c r="J15" s="58" t="e">
        <f t="shared" si="1"/>
        <v>#DIV/0!</v>
      </c>
      <c r="K15" s="412" t="str">
        <f t="shared" si="17"/>
        <v>No</v>
      </c>
      <c r="L15" s="334">
        <f>IF(K15="Yes",1,0)</f>
        <v>0</v>
      </c>
      <c r="M15" s="329"/>
      <c r="N15" s="329"/>
      <c r="O15" s="34">
        <f t="shared" si="18"/>
        <v>0</v>
      </c>
      <c r="P15" s="337" t="str">
        <f t="shared" si="3"/>
        <v/>
      </c>
      <c r="Q15" s="160">
        <f>N15-M15</f>
        <v>0</v>
      </c>
      <c r="R15" s="161">
        <f>HOUR(Q15)*3600+MINUTE(Q15)*60+SECOND(Q15)</f>
        <v>0</v>
      </c>
      <c r="S15" s="161">
        <f t="shared" si="4"/>
        <v>0</v>
      </c>
      <c r="T15" s="331" t="s">
        <v>140</v>
      </c>
      <c r="U15" s="335" t="str">
        <f>IF(O15=1,IF(T15="No",I15,G15),"")</f>
        <v/>
      </c>
      <c r="V15" s="336">
        <f t="shared" si="5"/>
        <v>0</v>
      </c>
      <c r="W15" s="336">
        <f t="shared" si="27"/>
        <v>0</v>
      </c>
      <c r="X15" s="161">
        <f>R15-S15+V15</f>
        <v>0</v>
      </c>
      <c r="Y15" s="34" t="e">
        <f>IF(T15="Yes",R15*H15,R15*J15)</f>
        <v>#DIV/0!</v>
      </c>
      <c r="Z15" s="62" t="str">
        <f t="shared" si="7"/>
        <v/>
      </c>
      <c r="AA15" s="62" t="e">
        <f t="shared" si="8"/>
        <v>#DIV/0!</v>
      </c>
      <c r="AB15" s="169" t="e">
        <f t="shared" si="9"/>
        <v>#DIV/0!</v>
      </c>
      <c r="AC15" s="173" t="e">
        <f t="shared" si="10"/>
        <v>#DIV/0!</v>
      </c>
      <c r="AD15" s="34" t="e">
        <f t="shared" si="11"/>
        <v>#DIV/0!</v>
      </c>
      <c r="AE15" s="34" t="e">
        <f t="shared" si="12"/>
        <v>#DIV/0!</v>
      </c>
      <c r="AF15" s="34" t="e">
        <f>IF(AE15&gt;30,30,IF(AE15&lt;-30,-30,(AE15)))</f>
        <v>#DIV/0!</v>
      </c>
      <c r="AG15" s="78" t="e">
        <f t="shared" si="13"/>
        <v>#DIV/0!</v>
      </c>
      <c r="AH15" s="166">
        <f>MIN(MAX(IF(T15="Yes",G15+AG15,G15),'Handicaps-Roster'!L17),'Handicaps-Roster'!M17)</f>
        <v>194.4</v>
      </c>
      <c r="AI15" s="166" t="e">
        <f>MIN(MAX(IF(T15="No",I15+AG15,I15),'Handicaps-Roster'!N17),'Handicaps-Roster'!O17)</f>
        <v>#DIV/0!</v>
      </c>
      <c r="AJ15" s="174" t="e">
        <f>AC15+'Race #4'!AJ15</f>
        <v>#DIV/0!</v>
      </c>
      <c r="AK15" s="175" t="str">
        <f>IF(O15=1,IF(T15="Yes",E15,F15),"")</f>
        <v/>
      </c>
      <c r="AL15" s="194" t="str">
        <f t="shared" si="14"/>
        <v/>
      </c>
      <c r="AM15" s="156" t="e">
        <f t="shared" si="15"/>
        <v>#DIV/0!</v>
      </c>
      <c r="AN15" s="156" t="e">
        <f>IF(AM15=1,5,IF(AM15=2,4,IF(AM15=3,3,IF(AM15=4,2,IF(AM15=5,1,0)))))+O15</f>
        <v>#DIV/0!</v>
      </c>
      <c r="AO15" s="156" t="e">
        <f>AN15+'Race #4'!AO15</f>
        <v>#DIV/0!</v>
      </c>
      <c r="AP15" s="120" t="str">
        <f>B15</f>
        <v>Triton</v>
      </c>
      <c r="AQ15" s="81"/>
    </row>
    <row r="16" spans="2:46" ht="30" customHeight="1" x14ac:dyDescent="0.2">
      <c r="B16" s="349" t="str">
        <f>'2026 Applebee Finish Summary'!I17</f>
        <v>Lone Gull</v>
      </c>
      <c r="C16" s="425" t="str">
        <f>'2026 Applebee Finish Summary'!J17</f>
        <v>Cal 20</v>
      </c>
      <c r="D16" s="425" t="str">
        <f>'2026 Applebee Finish Summary'!K17</f>
        <v>Kevin Savage</v>
      </c>
      <c r="E16" s="162">
        <f>'Handicaps-Roster'!G18</f>
        <v>280</v>
      </c>
      <c r="F16" s="162">
        <f>'Handicaps-Roster'!H18</f>
        <v>288</v>
      </c>
      <c r="G16" s="162">
        <f>'Race #4'!AH16</f>
        <v>280</v>
      </c>
      <c r="H16" s="61" t="e">
        <f t="shared" ref="H16:H17" si="28">$E$31/($E$24+G16)</f>
        <v>#DIV/0!</v>
      </c>
      <c r="I16" s="162">
        <f>'Race #4'!AI16</f>
        <v>287.80979099165478</v>
      </c>
      <c r="J16" s="61" t="e">
        <f t="shared" ref="J16:J17" si="29">$E$31/($E$24+I16)</f>
        <v>#DIV/0!</v>
      </c>
      <c r="K16" s="414" t="str">
        <f t="shared" si="17"/>
        <v>No</v>
      </c>
      <c r="L16" s="328">
        <f t="shared" ref="L16:L17" si="30">IF(K16="Yes",1,0)</f>
        <v>0</v>
      </c>
      <c r="M16" s="329"/>
      <c r="N16" s="329"/>
      <c r="O16" s="59">
        <f t="shared" si="18"/>
        <v>0</v>
      </c>
      <c r="P16" s="337" t="str">
        <f t="shared" si="3"/>
        <v/>
      </c>
      <c r="Q16" s="163">
        <f t="shared" ref="Q16:Q17" si="31">N16-M16</f>
        <v>0</v>
      </c>
      <c r="R16" s="164">
        <f t="shared" ref="R16:R17" si="32">HOUR(Q16)*3600+MINUTE(Q16)*60+SECOND(Q16)</f>
        <v>0</v>
      </c>
      <c r="S16" s="164">
        <f t="shared" ref="S16:S17" si="33">IF(N16&gt;0,($I16*$E$20),0)</f>
        <v>0</v>
      </c>
      <c r="T16" s="331" t="s">
        <v>140</v>
      </c>
      <c r="U16" s="332" t="str">
        <f t="shared" ref="U16:U17" si="34">IF(O16=1,IF(T16="No",I16,G16),"")</f>
        <v/>
      </c>
      <c r="V16" s="333">
        <f t="shared" si="5"/>
        <v>0</v>
      </c>
      <c r="W16" s="333">
        <f t="shared" si="27"/>
        <v>0</v>
      </c>
      <c r="X16" s="164">
        <f t="shared" ref="X16:X17" si="35">R16-S16+V16</f>
        <v>0</v>
      </c>
      <c r="Y16" s="59" t="e">
        <f t="shared" ref="Y16:Y17" si="36">IF(T16="Yes",R16*H16,R16*J16)</f>
        <v>#DIV/0!</v>
      </c>
      <c r="Z16" s="77" t="str">
        <f t="shared" si="7"/>
        <v/>
      </c>
      <c r="AA16" s="77" t="e">
        <f t="shared" si="8"/>
        <v>#DIV/0!</v>
      </c>
      <c r="AB16" s="169" t="e">
        <f t="shared" ref="AB16:AB17" si="37">IF($E$21="Yes",Z16,AA16)</f>
        <v>#DIV/0!</v>
      </c>
      <c r="AC16" s="173" t="e">
        <f t="shared" ref="AC16:AC17" si="38">IF($E$21="Yes",IF(Z16=1,5,IF(Z16=2,4,IF(Z16=3,3,IF(Z16=4,2,IF(Z16=5,1,0))))),IF(AA16=1,5,IF(AA16=2,4,IF(AA16=3,3,IF(AA16=4,2,IF(AA16=5,1,0))))))+L16</f>
        <v>#DIV/0!</v>
      </c>
      <c r="AD16" s="59" t="e">
        <f t="shared" ref="AD16:AD17" si="39">Y16/$E$20</f>
        <v>#DIV/0!</v>
      </c>
      <c r="AE16" s="59" t="e">
        <f t="shared" ref="AE16:AE17" si="40">IF(AD16&gt;0,((Y16/$E$20)-$E$29),0)</f>
        <v>#DIV/0!</v>
      </c>
      <c r="AF16" s="59" t="e">
        <f t="shared" ref="AF16:AF17" si="41">IF(AE16&gt;30,30,IF(AE16&lt;-30,-30,(AE16)))</f>
        <v>#DIV/0!</v>
      </c>
      <c r="AG16" s="60" t="e">
        <f t="shared" ref="AG16:AG17" si="42">AF16*$E$22</f>
        <v>#DIV/0!</v>
      </c>
      <c r="AH16" s="165">
        <f>MIN(MAX(IF(T16="Yes",G16+AG16,G16),'Handicaps-Roster'!L18),'Handicaps-Roster'!M18)</f>
        <v>280</v>
      </c>
      <c r="AI16" s="165" t="e">
        <f>MIN(MAX(IF(T16="No",I16+AG16,I16),'Handicaps-Roster'!N18),'Handicaps-Roster'!O18)</f>
        <v>#DIV/0!</v>
      </c>
      <c r="AJ16" s="174" t="e">
        <f>AC16+'Race #4'!AJ16</f>
        <v>#DIV/0!</v>
      </c>
      <c r="AK16" s="176" t="str">
        <f t="shared" ref="AK16:AK17" si="43">IF(O16=1,IF(T16="Yes",E16,F16),"")</f>
        <v/>
      </c>
      <c r="AL16" s="195" t="str">
        <f t="shared" ref="AL16:AL17" si="44">IFERROR((($AN$22/($E$24+AK16))*R16),"")</f>
        <v/>
      </c>
      <c r="AM16" s="156" t="e">
        <f t="shared" si="15"/>
        <v>#DIV/0!</v>
      </c>
      <c r="AN16" s="156" t="e">
        <f t="shared" ref="AN16:AN17" si="45">IF(AM16=1,5,IF(AM16=2,4,IF(AM16=3,3,IF(AM16=4,2,IF(AM16=5,1,0)))))+O16</f>
        <v>#DIV/0!</v>
      </c>
      <c r="AO16" s="156" t="e">
        <f>AN16+'Race #4'!AO16</f>
        <v>#DIV/0!</v>
      </c>
      <c r="AP16" s="158" t="str">
        <f t="shared" ref="AP16:AP17" si="46">B16</f>
        <v>Lone Gull</v>
      </c>
      <c r="AQ16" s="81"/>
    </row>
    <row r="17" spans="2:43" ht="30" customHeight="1" thickBot="1" x14ac:dyDescent="0.25">
      <c r="B17" s="396">
        <f>'2026 Applebee Finish Summary'!I18</f>
        <v>0</v>
      </c>
      <c r="C17" s="426">
        <f>'2026 Applebee Finish Summary'!J18</f>
        <v>0</v>
      </c>
      <c r="D17" s="426">
        <f>'2026 Applebee Finish Summary'!K18</f>
        <v>0</v>
      </c>
      <c r="E17" s="275">
        <f>'Handicaps-Roster'!G19</f>
        <v>0</v>
      </c>
      <c r="F17" s="275">
        <f>'Handicaps-Roster'!H19</f>
        <v>0</v>
      </c>
      <c r="G17" s="275">
        <f>'Race #4'!AH17</f>
        <v>0</v>
      </c>
      <c r="H17" s="276" t="e">
        <f t="shared" si="28"/>
        <v>#DIV/0!</v>
      </c>
      <c r="I17" s="275">
        <f>'Race #4'!AI17</f>
        <v>0</v>
      </c>
      <c r="J17" s="276" t="e">
        <f t="shared" si="29"/>
        <v>#DIV/0!</v>
      </c>
      <c r="K17" s="413" t="str">
        <f t="shared" si="17"/>
        <v>No</v>
      </c>
      <c r="L17" s="342">
        <f t="shared" si="30"/>
        <v>0</v>
      </c>
      <c r="M17" s="338"/>
      <c r="N17" s="338"/>
      <c r="O17" s="277">
        <f t="shared" si="18"/>
        <v>0</v>
      </c>
      <c r="P17" s="339" t="str">
        <f t="shared" si="3"/>
        <v/>
      </c>
      <c r="Q17" s="278">
        <f t="shared" si="31"/>
        <v>0</v>
      </c>
      <c r="R17" s="279">
        <f t="shared" si="32"/>
        <v>0</v>
      </c>
      <c r="S17" s="279">
        <f t="shared" si="33"/>
        <v>0</v>
      </c>
      <c r="T17" s="340" t="s">
        <v>140</v>
      </c>
      <c r="U17" s="395" t="str">
        <f t="shared" si="34"/>
        <v/>
      </c>
      <c r="V17" s="343">
        <f t="shared" si="5"/>
        <v>0</v>
      </c>
      <c r="W17" s="343">
        <f t="shared" si="27"/>
        <v>0</v>
      </c>
      <c r="X17" s="279">
        <f t="shared" si="35"/>
        <v>0</v>
      </c>
      <c r="Y17" s="277" t="e">
        <f t="shared" si="36"/>
        <v>#DIV/0!</v>
      </c>
      <c r="Z17" s="280" t="str">
        <f t="shared" si="7"/>
        <v/>
      </c>
      <c r="AA17" s="280" t="e">
        <f t="shared" si="8"/>
        <v>#DIV/0!</v>
      </c>
      <c r="AB17" s="171" t="e">
        <f t="shared" si="37"/>
        <v>#DIV/0!</v>
      </c>
      <c r="AC17" s="177" t="e">
        <f t="shared" si="38"/>
        <v>#DIV/0!</v>
      </c>
      <c r="AD17" s="277" t="e">
        <f t="shared" si="39"/>
        <v>#DIV/0!</v>
      </c>
      <c r="AE17" s="277" t="e">
        <f t="shared" si="40"/>
        <v>#DIV/0!</v>
      </c>
      <c r="AF17" s="277" t="e">
        <f t="shared" si="41"/>
        <v>#DIV/0!</v>
      </c>
      <c r="AG17" s="281" t="e">
        <f t="shared" si="42"/>
        <v>#DIV/0!</v>
      </c>
      <c r="AH17" s="282">
        <f>MIN(MAX(IF(T17="Yes",G17+AG17,G17),'Handicaps-Roster'!L19),'Handicaps-Roster'!M19)</f>
        <v>0</v>
      </c>
      <c r="AI17" s="282" t="e">
        <f>MIN(MAX(IF(T17="No",I17+AG17,I17),'Handicaps-Roster'!N19),'Handicaps-Roster'!O19)</f>
        <v>#DIV/0!</v>
      </c>
      <c r="AJ17" s="178" t="e">
        <f>AC17+'Race #4'!AJ17</f>
        <v>#DIV/0!</v>
      </c>
      <c r="AK17" s="287" t="str">
        <f t="shared" si="43"/>
        <v/>
      </c>
      <c r="AL17" s="286" t="str">
        <f t="shared" si="44"/>
        <v/>
      </c>
      <c r="AM17" s="157" t="e">
        <f t="shared" si="15"/>
        <v>#DIV/0!</v>
      </c>
      <c r="AN17" s="157" t="e">
        <f t="shared" si="45"/>
        <v>#DIV/0!</v>
      </c>
      <c r="AO17" s="157" t="e">
        <f>AN17+'Race #4'!AO17</f>
        <v>#DIV/0!</v>
      </c>
      <c r="AP17" s="284">
        <f t="shared" si="46"/>
        <v>0</v>
      </c>
      <c r="AQ17" s="81"/>
    </row>
    <row r="18" spans="2:43" ht="30" customHeight="1" x14ac:dyDescent="0.2">
      <c r="AO18" s="81"/>
    </row>
    <row r="19" spans="2:43" ht="16" thickBot="1" x14ac:dyDescent="0.25">
      <c r="B19" s="4"/>
      <c r="E19" s="5"/>
      <c r="F19" s="11"/>
      <c r="G19" s="5"/>
      <c r="H19" s="11"/>
      <c r="I19" s="11"/>
      <c r="J19" s="11"/>
      <c r="K19" s="11"/>
      <c r="L19" s="11"/>
      <c r="M19" s="11"/>
      <c r="N19" s="13"/>
      <c r="O19" s="13"/>
      <c r="P19" s="11"/>
      <c r="Q19" s="11"/>
      <c r="R19" s="11"/>
      <c r="S19" s="8"/>
      <c r="T19" s="89" t="s">
        <v>146</v>
      </c>
      <c r="U19" s="11"/>
      <c r="V19" s="11"/>
      <c r="W19" s="13"/>
      <c r="X19" s="13"/>
      <c r="Y19" s="18"/>
      <c r="Z19" s="18"/>
      <c r="AA19" s="13"/>
      <c r="AB19" s="13"/>
      <c r="AC19" s="89" t="s">
        <v>186</v>
      </c>
      <c r="AD19" s="13"/>
      <c r="AE19" s="15"/>
      <c r="AF19" s="16"/>
      <c r="AG19" s="11"/>
      <c r="AH19" s="11"/>
      <c r="AI19" s="5"/>
    </row>
    <row r="20" spans="2:43" ht="18" customHeight="1" x14ac:dyDescent="0.35">
      <c r="D20" s="87" t="s">
        <v>141</v>
      </c>
      <c r="E20" s="86">
        <f>Z30</f>
        <v>0</v>
      </c>
      <c r="G20" s="481" t="s">
        <v>142</v>
      </c>
      <c r="H20" s="482"/>
      <c r="I20" s="511" t="s">
        <v>102</v>
      </c>
      <c r="J20" s="482"/>
      <c r="K20" s="516" t="s">
        <v>143</v>
      </c>
      <c r="L20" s="493"/>
      <c r="M20" s="516" t="s">
        <v>144</v>
      </c>
      <c r="N20" s="491"/>
      <c r="P20" s="512" t="s">
        <v>145</v>
      </c>
      <c r="Q20" s="513"/>
      <c r="U20" s="89" t="s">
        <v>147</v>
      </c>
      <c r="W20" s="89" t="s">
        <v>148</v>
      </c>
      <c r="Z20" s="233" t="s">
        <v>149</v>
      </c>
      <c r="AK20" s="521" t="s">
        <v>150</v>
      </c>
      <c r="AL20" s="500"/>
      <c r="AM20" s="500"/>
      <c r="AN20" s="501"/>
    </row>
    <row r="21" spans="2:43" ht="18" customHeight="1" x14ac:dyDescent="0.2">
      <c r="D21" s="87" t="s">
        <v>151</v>
      </c>
      <c r="E21" s="24" t="s">
        <v>140</v>
      </c>
      <c r="G21" s="477" t="str">
        <f>IF($E$27&gt;0,"First Place","")</f>
        <v/>
      </c>
      <c r="H21" s="478"/>
      <c r="I21" s="483" t="str">
        <f>IF($E$27&gt;0,VLOOKUP(1,$AB$4:$AP$17,15,FALSE),"")</f>
        <v/>
      </c>
      <c r="J21" s="484"/>
      <c r="K21" s="514" t="str">
        <f t="shared" ref="K21:K32" si="47">IFERROR(VLOOKUP(I21,$B$4:$Y$17,24,0)-_xlfn.MINIFS($Y$4:$Y$17,$Y$4:$Y$17,"&gt;0"),"")</f>
        <v/>
      </c>
      <c r="L21" s="515"/>
      <c r="M21" s="514" t="str">
        <f t="shared" ref="M21:M32" si="48">IFERROR(VLOOKUP(I21,$B$4:$X$17,23,0)-_xlfn.MINIFS($X$4:$X$17,$X$4:$X$17,"&gt;0"),"")</f>
        <v/>
      </c>
      <c r="N21" s="517"/>
      <c r="P21" s="115" t="s">
        <v>93</v>
      </c>
      <c r="Q21" s="115" t="s">
        <v>152</v>
      </c>
      <c r="U21" s="30"/>
      <c r="V21" s="30"/>
      <c r="AK21" s="147" t="s">
        <v>153</v>
      </c>
      <c r="AL21" s="148"/>
      <c r="AM21" s="148"/>
      <c r="AN21" s="154" t="e">
        <f>SUM(AK4:AK17)/E27</f>
        <v>#DIV/0!</v>
      </c>
    </row>
    <row r="22" spans="2:43" ht="18" customHeight="1" x14ac:dyDescent="0.2">
      <c r="D22" s="87" t="s">
        <v>154</v>
      </c>
      <c r="E22" s="250">
        <v>0.1</v>
      </c>
      <c r="G22" s="477" t="str">
        <f>IF(E27&gt;1,"Second Place","")</f>
        <v/>
      </c>
      <c r="H22" s="478"/>
      <c r="I22" s="483" t="str">
        <f>IF($E$27&gt;1,VLOOKUP(2,$AB$4:$AP$17,15,FALSE),"")</f>
        <v/>
      </c>
      <c r="J22" s="484"/>
      <c r="K22" s="514" t="str">
        <f t="shared" si="47"/>
        <v/>
      </c>
      <c r="L22" s="515"/>
      <c r="M22" s="514" t="str">
        <f t="shared" si="48"/>
        <v/>
      </c>
      <c r="N22" s="517"/>
      <c r="P22" s="116">
        <v>2</v>
      </c>
      <c r="Q22" s="117">
        <v>1</v>
      </c>
      <c r="U22" s="430" t="s">
        <v>193</v>
      </c>
      <c r="V22" s="430"/>
      <c r="W22" s="430"/>
      <c r="X22" s="107"/>
      <c r="Y22" s="107"/>
      <c r="Z22" s="429"/>
      <c r="AA22" s="148"/>
      <c r="AB22" s="148"/>
      <c r="AK22" s="147" t="s">
        <v>155</v>
      </c>
      <c r="AL22" s="148"/>
      <c r="AM22" s="148"/>
      <c r="AN22" s="154" t="e">
        <f>AN21+E24</f>
        <v>#DIV/0!</v>
      </c>
    </row>
    <row r="23" spans="2:43" ht="18" customHeight="1" thickBot="1" x14ac:dyDescent="0.25">
      <c r="D23" s="87" t="s">
        <v>156</v>
      </c>
      <c r="E23" s="94" t="s">
        <v>170</v>
      </c>
      <c r="G23" s="477" t="str">
        <f>IF(E27&gt;2,"Third Place","")</f>
        <v/>
      </c>
      <c r="H23" s="478"/>
      <c r="I23" s="483" t="str">
        <f>IF($E$27&gt;2,VLOOKUP(3,$AB$4:$AP$17,15,FALSE),"")</f>
        <v/>
      </c>
      <c r="J23" s="484"/>
      <c r="K23" s="514" t="str">
        <f t="shared" si="47"/>
        <v/>
      </c>
      <c r="L23" s="515"/>
      <c r="M23" s="514" t="str">
        <f t="shared" si="48"/>
        <v/>
      </c>
      <c r="N23" s="517"/>
      <c r="P23" s="118">
        <v>3</v>
      </c>
      <c r="Q23" s="108">
        <v>2</v>
      </c>
      <c r="U23" s="430"/>
      <c r="V23" s="430"/>
      <c r="W23" s="430"/>
      <c r="X23" s="107"/>
      <c r="Y23" s="107"/>
      <c r="Z23" s="429"/>
      <c r="AA23" s="148"/>
      <c r="AB23" s="148"/>
      <c r="AK23" s="149" t="s">
        <v>158</v>
      </c>
      <c r="AL23" s="150"/>
      <c r="AM23" s="150"/>
      <c r="AN23" s="152" t="e">
        <f>AN22/(AN21+E24)</f>
        <v>#DIV/0!</v>
      </c>
    </row>
    <row r="24" spans="2:43" ht="18" customHeight="1" x14ac:dyDescent="0.2">
      <c r="D24" s="87" t="s">
        <v>159</v>
      </c>
      <c r="E24" s="249">
        <f>VLOOKUP(E23,I36:K38,3,0)</f>
        <v>600</v>
      </c>
      <c r="G24" s="477" t="str">
        <f>IF(E27&gt;3,"Fourth Place","")</f>
        <v/>
      </c>
      <c r="H24" s="478"/>
      <c r="I24" s="483" t="str">
        <f>IF($E$27&gt;3,VLOOKUP(4,$AB$4:$AP$17,15,FALSE),"")</f>
        <v/>
      </c>
      <c r="J24" s="484"/>
      <c r="K24" s="514" t="str">
        <f t="shared" si="47"/>
        <v/>
      </c>
      <c r="L24" s="515"/>
      <c r="M24" s="514" t="str">
        <f t="shared" si="48"/>
        <v/>
      </c>
      <c r="N24" s="517"/>
      <c r="P24" s="118">
        <v>4</v>
      </c>
      <c r="Q24" s="108">
        <v>2</v>
      </c>
      <c r="U24" s="430"/>
      <c r="V24" s="430"/>
      <c r="W24" s="430"/>
      <c r="X24" s="107"/>
      <c r="Y24" s="107"/>
      <c r="Z24" s="429"/>
      <c r="AA24" s="148"/>
      <c r="AB24" s="148"/>
    </row>
    <row r="25" spans="2:43" ht="18" customHeight="1" x14ac:dyDescent="0.2">
      <c r="D25" s="95"/>
      <c r="E25" s="96"/>
      <c r="G25" s="477" t="str">
        <f>IF(E27&gt;4,"Fifth Place","")</f>
        <v/>
      </c>
      <c r="H25" s="478"/>
      <c r="I25" s="483" t="str">
        <f>IF($E$27&gt;4,VLOOKUP(5,$AB$4:$AP$17,15,FALSE),"")</f>
        <v/>
      </c>
      <c r="J25" s="484"/>
      <c r="K25" s="514" t="str">
        <f t="shared" si="47"/>
        <v/>
      </c>
      <c r="L25" s="515"/>
      <c r="M25" s="514" t="str">
        <f t="shared" si="48"/>
        <v/>
      </c>
      <c r="N25" s="517"/>
      <c r="P25" s="118">
        <v>5</v>
      </c>
      <c r="Q25" s="108">
        <v>2</v>
      </c>
      <c r="U25" s="430"/>
      <c r="V25" s="430"/>
      <c r="W25" s="430"/>
      <c r="X25" s="107"/>
      <c r="Y25" s="107"/>
      <c r="Z25" s="429"/>
      <c r="AA25" s="148"/>
      <c r="AB25" s="148"/>
    </row>
    <row r="26" spans="2:43" ht="18" customHeight="1" x14ac:dyDescent="0.2">
      <c r="D26" s="87" t="s">
        <v>160</v>
      </c>
      <c r="E26" s="23">
        <f>SUM(L4:L17)</f>
        <v>0</v>
      </c>
      <c r="G26" s="477" t="str">
        <f>IF($E$27&gt;5,"Sixth Place","")</f>
        <v/>
      </c>
      <c r="H26" s="478"/>
      <c r="I26" s="483" t="str">
        <f>IF($E$27&gt;5,VLOOKUP(6,$AB$4:$AP$17,15,FALSE),"")</f>
        <v/>
      </c>
      <c r="J26" s="484"/>
      <c r="K26" s="514" t="str">
        <f t="shared" si="47"/>
        <v/>
      </c>
      <c r="L26" s="515"/>
      <c r="M26" s="514" t="str">
        <f t="shared" si="48"/>
        <v/>
      </c>
      <c r="N26" s="517"/>
      <c r="P26" s="118">
        <v>6</v>
      </c>
      <c r="Q26" s="108">
        <v>3</v>
      </c>
      <c r="U26" s="430"/>
      <c r="V26" s="430"/>
      <c r="W26" s="430"/>
      <c r="X26" s="107"/>
      <c r="Y26" s="107"/>
      <c r="Z26" s="429"/>
      <c r="AA26" s="148"/>
      <c r="AB26" s="148"/>
    </row>
    <row r="27" spans="2:43" ht="18" customHeight="1" x14ac:dyDescent="0.2">
      <c r="D27" s="87" t="s">
        <v>161</v>
      </c>
      <c r="E27" s="23">
        <f>SUM(O4:O17)</f>
        <v>0</v>
      </c>
      <c r="G27" s="477" t="str">
        <f>IF($E$27&gt;6,"Seventh Place","")</f>
        <v/>
      </c>
      <c r="H27" s="478"/>
      <c r="I27" s="483" t="str">
        <f>IF($E$27&gt;6,VLOOKUP(7,$AB$4:$AP$17,15,FALSE),"")</f>
        <v/>
      </c>
      <c r="J27" s="484"/>
      <c r="K27" s="514" t="str">
        <f t="shared" si="47"/>
        <v/>
      </c>
      <c r="L27" s="515"/>
      <c r="M27" s="514" t="str">
        <f t="shared" si="48"/>
        <v/>
      </c>
      <c r="N27" s="517"/>
      <c r="P27" s="118">
        <v>7</v>
      </c>
      <c r="Q27" s="108">
        <v>3</v>
      </c>
      <c r="U27" s="430"/>
      <c r="V27" s="430"/>
      <c r="W27" s="430"/>
      <c r="X27" s="107"/>
      <c r="Y27" s="107"/>
      <c r="Z27" s="429"/>
      <c r="AA27" s="148"/>
      <c r="AB27" s="148"/>
    </row>
    <row r="28" spans="2:43" ht="18" customHeight="1" x14ac:dyDescent="0.2">
      <c r="D28" s="87" t="s">
        <v>162</v>
      </c>
      <c r="E28" s="25" t="e">
        <f>VLOOKUP(E27,P22:Q32,2,FALSE)</f>
        <v>#N/A</v>
      </c>
      <c r="G28" s="477" t="str">
        <f>IF(E27&gt;7,"Eighth Place","")</f>
        <v/>
      </c>
      <c r="H28" s="478"/>
      <c r="I28" s="483" t="str">
        <f>IF($E$27&gt;7,VLOOKUP(8,$AB$4:$AP$17,15,FALSE),"")</f>
        <v/>
      </c>
      <c r="J28" s="484"/>
      <c r="K28" s="514" t="str">
        <f t="shared" si="47"/>
        <v/>
      </c>
      <c r="L28" s="515"/>
      <c r="M28" s="514" t="str">
        <f t="shared" si="48"/>
        <v/>
      </c>
      <c r="N28" s="517"/>
      <c r="P28" s="118">
        <v>8</v>
      </c>
      <c r="Q28" s="108">
        <v>3</v>
      </c>
      <c r="U28" s="430"/>
      <c r="V28" s="430"/>
      <c r="W28" s="430"/>
      <c r="X28" s="107"/>
      <c r="Y28" s="107"/>
      <c r="Z28" s="429"/>
      <c r="AA28" s="148"/>
      <c r="AB28" s="148"/>
    </row>
    <row r="29" spans="2:43" ht="18" customHeight="1" x14ac:dyDescent="0.2">
      <c r="D29" s="87" t="s">
        <v>163</v>
      </c>
      <c r="E29" s="26" t="e">
        <f>VLOOKUP(E28,AA4:AD17,4,FALSE)</f>
        <v>#N/A</v>
      </c>
      <c r="G29" s="477" t="str">
        <f>IF(E27&gt;8,"Ninth Place","")</f>
        <v/>
      </c>
      <c r="H29" s="478"/>
      <c r="I29" s="483" t="str">
        <f>IF($E$27&gt;8,VLOOKUP(9,$AB$4:$AP$17,15,FALSE),"")</f>
        <v/>
      </c>
      <c r="J29" s="484"/>
      <c r="K29" s="514" t="str">
        <f t="shared" si="47"/>
        <v/>
      </c>
      <c r="L29" s="515"/>
      <c r="M29" s="514" t="str">
        <f t="shared" si="48"/>
        <v/>
      </c>
      <c r="N29" s="517"/>
      <c r="P29" s="118">
        <v>9</v>
      </c>
      <c r="Q29" s="108">
        <v>4</v>
      </c>
      <c r="U29" s="430"/>
      <c r="V29" s="430"/>
      <c r="W29" s="430"/>
      <c r="X29" s="107"/>
      <c r="Y29" s="107"/>
      <c r="Z29" s="429"/>
      <c r="AA29" s="148"/>
      <c r="AB29" s="148"/>
    </row>
    <row r="30" spans="2:43" ht="18" customHeight="1" x14ac:dyDescent="0.2">
      <c r="D30" s="87" t="s">
        <v>153</v>
      </c>
      <c r="E30" s="181" t="e">
        <f>SUM(U4:U17)/E27</f>
        <v>#DIV/0!</v>
      </c>
      <c r="G30" s="477" t="str">
        <f>IF(E27&gt;9,"Tenth Place","")</f>
        <v/>
      </c>
      <c r="H30" s="478"/>
      <c r="I30" s="483" t="str">
        <f>IF($E$27&gt;9,VLOOKUP(10,$AB$4:$AP$17,15,FALSE),"")</f>
        <v/>
      </c>
      <c r="J30" s="484"/>
      <c r="K30" s="514" t="str">
        <f t="shared" si="47"/>
        <v/>
      </c>
      <c r="L30" s="515"/>
      <c r="M30" s="514" t="str">
        <f t="shared" si="48"/>
        <v/>
      </c>
      <c r="N30" s="517"/>
      <c r="P30" s="118">
        <v>10</v>
      </c>
      <c r="Q30" s="108">
        <v>4</v>
      </c>
      <c r="U30" s="148"/>
      <c r="V30" s="148"/>
      <c r="W30" s="430"/>
      <c r="X30" s="107"/>
      <c r="Y30" s="88" t="s">
        <v>164</v>
      </c>
      <c r="Z30" s="429">
        <f>SUM(Z22:Z26)</f>
        <v>0</v>
      </c>
      <c r="AA30" s="148"/>
      <c r="AB30" s="148"/>
    </row>
    <row r="31" spans="2:43" ht="18" customHeight="1" x14ac:dyDescent="0.2">
      <c r="D31" s="87" t="s">
        <v>155</v>
      </c>
      <c r="E31" s="434" t="e">
        <f>E24+E30</f>
        <v>#DIV/0!</v>
      </c>
      <c r="G31" s="477" t="str">
        <f>IF(E27&gt;10,"Eleventh Place","")</f>
        <v/>
      </c>
      <c r="H31" s="478"/>
      <c r="I31" s="483" t="str">
        <f>IF($E$27&gt;10,VLOOKUP(11,$AB$4:$AP$17,15,FALSE),"")</f>
        <v/>
      </c>
      <c r="J31" s="484"/>
      <c r="K31" s="514" t="str">
        <f t="shared" si="47"/>
        <v/>
      </c>
      <c r="L31" s="515"/>
      <c r="M31" s="514" t="str">
        <f t="shared" si="48"/>
        <v/>
      </c>
      <c r="N31" s="517"/>
      <c r="P31" s="118">
        <v>11</v>
      </c>
      <c r="Q31" s="108">
        <v>4</v>
      </c>
      <c r="W31" s="30"/>
    </row>
    <row r="32" spans="2:43" ht="18" customHeight="1" thickBot="1" x14ac:dyDescent="0.25">
      <c r="D32" s="87" t="s">
        <v>158</v>
      </c>
      <c r="E32" s="418" t="e">
        <f>E31/(E24+E30)</f>
        <v>#DIV/0!</v>
      </c>
      <c r="G32" s="479" t="str">
        <f>IF(E27&gt;11,"Twelth Place","")</f>
        <v/>
      </c>
      <c r="H32" s="480"/>
      <c r="I32" s="494" t="str">
        <f>IF($E$27&gt;11,VLOOKUP(12,$AB$4:$AP$17,15,FALSE),"")</f>
        <v/>
      </c>
      <c r="J32" s="495"/>
      <c r="K32" s="523" t="str">
        <f t="shared" si="47"/>
        <v/>
      </c>
      <c r="L32" s="525"/>
      <c r="M32" s="523" t="str">
        <f t="shared" si="48"/>
        <v/>
      </c>
      <c r="N32" s="524"/>
      <c r="P32" s="119">
        <v>12</v>
      </c>
      <c r="Q32" s="111">
        <v>5</v>
      </c>
      <c r="W32" s="30"/>
    </row>
    <row r="33" spans="4:36" ht="18" customHeight="1" x14ac:dyDescent="0.2"/>
    <row r="34" spans="4:36" ht="18" customHeight="1" x14ac:dyDescent="0.2">
      <c r="D34" s="87" t="s">
        <v>352</v>
      </c>
      <c r="E34" s="417">
        <f>_xlfn.MINIFS(Q4:Q17,Q4:Q17,"&gt;0")*86400</f>
        <v>0</v>
      </c>
      <c r="I34" s="505" t="s">
        <v>165</v>
      </c>
      <c r="J34" s="506"/>
      <c r="K34" s="507"/>
    </row>
    <row r="35" spans="4:36" x14ac:dyDescent="0.2">
      <c r="I35" s="97" t="s">
        <v>166</v>
      </c>
      <c r="J35" s="93" t="s">
        <v>167</v>
      </c>
      <c r="K35" s="98" t="s">
        <v>168</v>
      </c>
    </row>
    <row r="36" spans="4:36" x14ac:dyDescent="0.2">
      <c r="D36" s="88" t="s">
        <v>169</v>
      </c>
      <c r="E36" s="47" t="str">
        <f>IF(E21="Yes","Distance","Time")</f>
        <v>Time</v>
      </c>
      <c r="I36" s="106" t="s">
        <v>170</v>
      </c>
      <c r="J36" s="107" t="s">
        <v>171</v>
      </c>
      <c r="K36" s="108">
        <v>600</v>
      </c>
      <c r="T36" s="4"/>
    </row>
    <row r="37" spans="4:36" x14ac:dyDescent="0.2">
      <c r="D37" s="2" t="s">
        <v>172</v>
      </c>
      <c r="I37" s="106" t="s">
        <v>157</v>
      </c>
      <c r="J37" s="126" t="s">
        <v>173</v>
      </c>
      <c r="K37" s="108">
        <v>550</v>
      </c>
    </row>
    <row r="38" spans="4:36" x14ac:dyDescent="0.2">
      <c r="D38" s="2"/>
      <c r="I38" s="109" t="s">
        <v>174</v>
      </c>
      <c r="J38" s="110" t="s">
        <v>175</v>
      </c>
      <c r="K38" s="111">
        <v>480</v>
      </c>
    </row>
    <row r="39" spans="4:36" x14ac:dyDescent="0.2">
      <c r="D39" s="2"/>
    </row>
    <row r="41" spans="4:36" x14ac:dyDescent="0.2">
      <c r="AJ41" s="1"/>
    </row>
    <row r="42" spans="4:36" x14ac:dyDescent="0.2">
      <c r="D42" s="2"/>
    </row>
    <row r="43" spans="4:36" x14ac:dyDescent="0.2">
      <c r="D43" s="2"/>
    </row>
    <row r="44" spans="4:36" x14ac:dyDescent="0.2">
      <c r="D44" s="2"/>
    </row>
  </sheetData>
  <mergeCells count="57">
    <mergeCell ref="U2:AJ2"/>
    <mergeCell ref="AK20:AN20"/>
    <mergeCell ref="AK2:AO2"/>
    <mergeCell ref="I25:J25"/>
    <mergeCell ref="I34:K34"/>
    <mergeCell ref="M32:N32"/>
    <mergeCell ref="M27:N27"/>
    <mergeCell ref="M28:N28"/>
    <mergeCell ref="M29:N29"/>
    <mergeCell ref="M30:N30"/>
    <mergeCell ref="M31:N31"/>
    <mergeCell ref="K32:L32"/>
    <mergeCell ref="I31:J31"/>
    <mergeCell ref="K27:L27"/>
    <mergeCell ref="K28:L28"/>
    <mergeCell ref="K29:L29"/>
    <mergeCell ref="K30:L30"/>
    <mergeCell ref="K31:L31"/>
    <mergeCell ref="I32:J32"/>
    <mergeCell ref="I26:J26"/>
    <mergeCell ref="I27:J27"/>
    <mergeCell ref="I28:J28"/>
    <mergeCell ref="I29:J29"/>
    <mergeCell ref="I30:J30"/>
    <mergeCell ref="P20:Q20"/>
    <mergeCell ref="K23:L23"/>
    <mergeCell ref="K24:L24"/>
    <mergeCell ref="K25:L25"/>
    <mergeCell ref="K26:L26"/>
    <mergeCell ref="M20:N20"/>
    <mergeCell ref="M21:N21"/>
    <mergeCell ref="M22:N22"/>
    <mergeCell ref="M23:N23"/>
    <mergeCell ref="M24:N24"/>
    <mergeCell ref="M25:N25"/>
    <mergeCell ref="M26:N26"/>
    <mergeCell ref="K20:L20"/>
    <mergeCell ref="K21:L21"/>
    <mergeCell ref="K22:L22"/>
    <mergeCell ref="G20:H20"/>
    <mergeCell ref="I22:J22"/>
    <mergeCell ref="I23:J23"/>
    <mergeCell ref="I24:J24"/>
    <mergeCell ref="G21:H21"/>
    <mergeCell ref="G22:H22"/>
    <mergeCell ref="G23:H23"/>
    <mergeCell ref="G24:H24"/>
    <mergeCell ref="I20:J20"/>
    <mergeCell ref="I21:J21"/>
    <mergeCell ref="G30:H30"/>
    <mergeCell ref="G31:H31"/>
    <mergeCell ref="G32:H32"/>
    <mergeCell ref="G25:H25"/>
    <mergeCell ref="G26:H26"/>
    <mergeCell ref="G27:H27"/>
    <mergeCell ref="G28:H28"/>
    <mergeCell ref="G29:H29"/>
  </mergeCells>
  <conditionalFormatting sqref="P4:P17">
    <cfRule type="cellIs" dxfId="13" priority="3" operator="equal">
      <formula>1</formula>
    </cfRule>
  </conditionalFormatting>
  <conditionalFormatting sqref="T4:U12 T13 T14:U17">
    <cfRule type="cellIs" dxfId="12" priority="1" operator="equal">
      <formula>"Yes"</formula>
    </cfRule>
  </conditionalFormatting>
  <dataValidations count="2">
    <dataValidation type="list" allowBlank="1" showInputMessage="1" showErrorMessage="1" sqref="E21 E25 K4:K17 T4:T17" xr:uid="{32E8521A-AD18-9745-8EC6-75D8ED953EE5}">
      <formula1>$AT$4:$AT$5</formula1>
    </dataValidation>
    <dataValidation type="list" allowBlank="1" showInputMessage="1" showErrorMessage="1" sqref="E23" xr:uid="{813C906D-B5FF-46E9-8503-A3B64EA98511}">
      <formula1>$I$36:$I$38</formula1>
    </dataValidation>
  </dataValidations>
  <printOptions horizontalCentered="1"/>
  <pageMargins left="0.7" right="0.7" top="0.75" bottom="0.75" header="0.3" footer="0.3"/>
  <pageSetup paperSize="9" scale="57" fitToWidth="2" orientation="landscape" r:id="rId1"/>
  <ignoredErrors>
    <ignoredError sqref="I6 I4 I8:I14" 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432D0-52F4-014D-9204-2E74A3CEFA2D}">
  <sheetPr>
    <pageSetUpPr fitToPage="1"/>
  </sheetPr>
  <dimension ref="A1:AT44"/>
  <sheetViews>
    <sheetView zoomScaleNormal="100" workbookViewId="0">
      <selection activeCell="T25" sqref="T25"/>
    </sheetView>
  </sheetViews>
  <sheetFormatPr baseColWidth="10" defaultColWidth="8.83203125" defaultRowHeight="15" x14ac:dyDescent="0.2"/>
  <cols>
    <col min="1" max="1" width="2.83203125" customWidth="1"/>
    <col min="2" max="2" width="12.33203125" customWidth="1"/>
    <col min="3" max="3" width="16.5" customWidth="1"/>
    <col min="4" max="4" width="32" customWidth="1"/>
    <col min="5" max="14" width="10.83203125" customWidth="1"/>
    <col min="15" max="15" width="10.83203125" style="1" customWidth="1"/>
    <col min="16" max="22" width="10.83203125" customWidth="1"/>
    <col min="23" max="26" width="10.83203125" style="1" customWidth="1"/>
    <col min="27" max="41" width="10.83203125" customWidth="1"/>
    <col min="42" max="42" width="16.83203125" customWidth="1"/>
    <col min="43" max="43" width="3.6640625" customWidth="1"/>
    <col min="44" max="44" width="17.5" customWidth="1"/>
    <col min="46" max="46" width="0" hidden="1" customWidth="1"/>
  </cols>
  <sheetData>
    <row r="1" spans="1:46" ht="15" customHeight="1" thickBot="1" x14ac:dyDescent="0.25"/>
    <row r="2" spans="1:46" ht="15" customHeight="1" thickBot="1" x14ac:dyDescent="0.25">
      <c r="B2" s="28" t="s">
        <v>189</v>
      </c>
      <c r="C2" s="17"/>
      <c r="D2" s="17"/>
      <c r="E2" s="17"/>
      <c r="F2" s="17"/>
      <c r="G2" s="17"/>
      <c r="H2" s="17"/>
      <c r="I2" s="17"/>
      <c r="L2" s="17"/>
      <c r="M2" s="17"/>
      <c r="N2" s="17"/>
      <c r="O2" s="29"/>
      <c r="P2" s="17"/>
      <c r="Q2" s="17"/>
      <c r="R2" s="17"/>
      <c r="S2" s="124"/>
      <c r="T2" s="17"/>
      <c r="U2" s="518" t="s">
        <v>0</v>
      </c>
      <c r="V2" s="519"/>
      <c r="W2" s="519"/>
      <c r="X2" s="519"/>
      <c r="Y2" s="519"/>
      <c r="Z2" s="519"/>
      <c r="AA2" s="519"/>
      <c r="AB2" s="519"/>
      <c r="AC2" s="519"/>
      <c r="AD2" s="519"/>
      <c r="AE2" s="519"/>
      <c r="AF2" s="519"/>
      <c r="AG2" s="519"/>
      <c r="AH2" s="519"/>
      <c r="AI2" s="519"/>
      <c r="AJ2" s="520"/>
      <c r="AK2" s="522" t="s">
        <v>1</v>
      </c>
      <c r="AL2" s="503"/>
      <c r="AM2" s="503"/>
      <c r="AN2" s="503"/>
      <c r="AO2" s="504"/>
    </row>
    <row r="3" spans="1:46" s="22" customFormat="1" ht="80" x14ac:dyDescent="0.2">
      <c r="B3" s="315" t="s">
        <v>9</v>
      </c>
      <c r="C3" s="316" t="s">
        <v>10</v>
      </c>
      <c r="D3" s="316" t="s">
        <v>104</v>
      </c>
      <c r="E3" s="317" t="s">
        <v>105</v>
      </c>
      <c r="F3" s="317" t="s">
        <v>106</v>
      </c>
      <c r="G3" s="318" t="s">
        <v>107</v>
      </c>
      <c r="H3" s="319" t="s">
        <v>108</v>
      </c>
      <c r="I3" s="318" t="s">
        <v>109</v>
      </c>
      <c r="J3" s="319" t="s">
        <v>110</v>
      </c>
      <c r="K3" s="319" t="s">
        <v>111</v>
      </c>
      <c r="L3" s="319" t="s">
        <v>112</v>
      </c>
      <c r="M3" s="319" t="s">
        <v>113</v>
      </c>
      <c r="N3" s="319" t="s">
        <v>114</v>
      </c>
      <c r="O3" s="317" t="s">
        <v>115</v>
      </c>
      <c r="P3" s="320" t="s">
        <v>116</v>
      </c>
      <c r="Q3" s="319" t="s">
        <v>117</v>
      </c>
      <c r="R3" s="319" t="s">
        <v>118</v>
      </c>
      <c r="S3" s="319" t="s">
        <v>119</v>
      </c>
      <c r="T3" s="317" t="s">
        <v>120</v>
      </c>
      <c r="U3" s="317" t="s">
        <v>279</v>
      </c>
      <c r="V3" s="321" t="s">
        <v>121</v>
      </c>
      <c r="W3" s="322" t="s">
        <v>122</v>
      </c>
      <c r="X3" s="321" t="s">
        <v>123</v>
      </c>
      <c r="Y3" s="323" t="s">
        <v>124</v>
      </c>
      <c r="Z3" s="324" t="s">
        <v>125</v>
      </c>
      <c r="AA3" s="323" t="s">
        <v>126</v>
      </c>
      <c r="AB3" s="325" t="s">
        <v>127</v>
      </c>
      <c r="AC3" s="325" t="s">
        <v>128</v>
      </c>
      <c r="AD3" s="326" t="s">
        <v>129</v>
      </c>
      <c r="AE3" s="326" t="s">
        <v>130</v>
      </c>
      <c r="AF3" s="326" t="s">
        <v>131</v>
      </c>
      <c r="AG3" s="326" t="s">
        <v>132</v>
      </c>
      <c r="AH3" s="326" t="s">
        <v>133</v>
      </c>
      <c r="AI3" s="326" t="s">
        <v>134</v>
      </c>
      <c r="AJ3" s="325" t="s">
        <v>135</v>
      </c>
      <c r="AK3" s="323" t="s">
        <v>279</v>
      </c>
      <c r="AL3" s="323" t="s">
        <v>124</v>
      </c>
      <c r="AM3" s="323" t="s">
        <v>126</v>
      </c>
      <c r="AN3" s="323" t="s">
        <v>136</v>
      </c>
      <c r="AO3" s="323" t="s">
        <v>137</v>
      </c>
      <c r="AP3" s="327" t="str">
        <f>B3</f>
        <v>Yacht Name</v>
      </c>
      <c r="AQ3" s="79"/>
      <c r="AR3" s="79" t="s">
        <v>138</v>
      </c>
    </row>
    <row r="4" spans="1:46" ht="30" customHeight="1" x14ac:dyDescent="0.2">
      <c r="B4" s="347" t="str">
        <f>'2026 Applebee Finish Summary'!I5</f>
        <v>Estella</v>
      </c>
      <c r="C4" s="422" t="str">
        <f>'2026 Applebee Finish Summary'!J5</f>
        <v>Saffier 33</v>
      </c>
      <c r="D4" s="422" t="str">
        <f>'2026 Applebee Finish Summary'!K5</f>
        <v>Doug Kilgren</v>
      </c>
      <c r="E4" s="162">
        <f>'Handicaps-Roster'!G6</f>
        <v>90</v>
      </c>
      <c r="F4" s="162">
        <f>'Handicaps-Roster'!H6</f>
        <v>110</v>
      </c>
      <c r="G4" s="162">
        <f>'Race #5'!AH4</f>
        <v>90</v>
      </c>
      <c r="H4" s="61" t="e">
        <f t="shared" ref="H4:H15" si="0">$E$31/($E$24+G4)</f>
        <v>#DIV/0!</v>
      </c>
      <c r="I4" s="162" t="e">
        <f>'Race #5'!AI4</f>
        <v>#DIV/0!</v>
      </c>
      <c r="J4" s="61" t="e">
        <f t="shared" ref="J4:J15" si="1">$E$31/($E$24+I4)</f>
        <v>#DIV/0!</v>
      </c>
      <c r="K4" s="61" t="str">
        <f>IF(N4&gt;0,"Yes","No")</f>
        <v>No</v>
      </c>
      <c r="L4" s="328">
        <f t="shared" ref="L4:L14" si="2">IF(K4="Yes",1,0)</f>
        <v>0</v>
      </c>
      <c r="M4" s="329"/>
      <c r="N4" s="329"/>
      <c r="O4" s="59">
        <f>IF(N4&gt;0,1,0)</f>
        <v>0</v>
      </c>
      <c r="P4" s="330" t="str">
        <f t="shared" ref="P4:P17" si="3">IF($N4=0,"",RANK($N4,$N$4:$N$17,1)-COUNTIF($N$4:$N$17,0))</f>
        <v/>
      </c>
      <c r="Q4" s="163">
        <f>N4-M4</f>
        <v>0</v>
      </c>
      <c r="R4" s="164">
        <f>HOUR(Q4)*3600+MINUTE(Q4)*60+SECOND(Q4)</f>
        <v>0</v>
      </c>
      <c r="S4" s="164">
        <f t="shared" ref="S4:S15" si="4">IF(N4&gt;0,($I4*$E$20),0)</f>
        <v>0</v>
      </c>
      <c r="T4" s="331" t="s">
        <v>140</v>
      </c>
      <c r="U4" s="332" t="str">
        <f>IF(O4=1,IF(T4="No",I4,G4),"")</f>
        <v/>
      </c>
      <c r="V4" s="333">
        <f t="shared" ref="V4:V17" si="5">IF(T4="Yes",((I4-G4)*$E$20),0)</f>
        <v>0</v>
      </c>
      <c r="W4" s="333">
        <f t="shared" ref="W4:W7" si="6">IF(T4="Yes",(-(J4-H4)*R4),0)</f>
        <v>0</v>
      </c>
      <c r="X4" s="164">
        <f>R4-S4+V4</f>
        <v>0</v>
      </c>
      <c r="Y4" s="59" t="e">
        <f>IF(T4="Yes",R4*H4,R4*J4)</f>
        <v>#DIV/0!</v>
      </c>
      <c r="Z4" s="77" t="str">
        <f t="shared" ref="Z4:Z17" si="7">IF($X4=0,"",RANK($X4,$X$4:$X$17,1)-COUNTIF($X$4:$X$17,0))</f>
        <v/>
      </c>
      <c r="AA4" s="77" t="e">
        <f t="shared" ref="AA4:AA17" si="8">IF($Y4=0,"",RANK($Y4,$Y$4:$Y$17,1)-COUNTIF($Y$4:$Y$17,0))</f>
        <v>#DIV/0!</v>
      </c>
      <c r="AB4" s="169" t="str">
        <f t="shared" ref="AB4:AB15" si="9">IF($E$21="Yes",Z4,AA4)</f>
        <v/>
      </c>
      <c r="AC4" s="173">
        <f t="shared" ref="AC4:AC15" si="10">IF($E$21="Yes",IF(Z4=1,5,IF(Z4=2,4,IF(Z4=3,3,IF(Z4=4,2,IF(Z4=5,1,0))))),IF(AA4=1,5,IF(AA4=2,4,IF(AA4=3,3,IF(AA4=4,2,IF(AA4=5,1,0))))))+L4</f>
        <v>0</v>
      </c>
      <c r="AD4" s="59" t="e">
        <f t="shared" ref="AD4:AD15" si="11">Y4/$E$20</f>
        <v>#DIV/0!</v>
      </c>
      <c r="AE4" s="59" t="e">
        <f t="shared" ref="AE4:AE15" si="12">IF(AD4&gt;0,((Y4/$E$20)-$E$29),0)</f>
        <v>#DIV/0!</v>
      </c>
      <c r="AF4" s="59" t="e">
        <f>IF(AE4&gt;30,30,IF(AE4&lt;-30,-30,(AE4)))</f>
        <v>#DIV/0!</v>
      </c>
      <c r="AG4" s="60" t="e">
        <f t="shared" ref="AG4:AG15" si="13">AF4*$E$22</f>
        <v>#DIV/0!</v>
      </c>
      <c r="AH4" s="165">
        <f>MIN(MAX(IF(T4="Yes",G4+AG4,G4),'Handicaps-Roster'!L6),'Handicaps-Roster'!M6)</f>
        <v>90</v>
      </c>
      <c r="AI4" s="165" t="e">
        <f>MIN(MAX(IF(T4="No",I4+AG4,I4),'Handicaps-Roster'!N6),'Handicaps-Roster'!O6)</f>
        <v>#DIV/0!</v>
      </c>
      <c r="AJ4" s="174" t="e">
        <f>AC4+'Race #5'!AJ4</f>
        <v>#DIV/0!</v>
      </c>
      <c r="AK4" s="176" t="str">
        <f>IF(O4=1,IF(T4="Yes",E4,F4),"")</f>
        <v/>
      </c>
      <c r="AL4" s="288" t="str">
        <f t="shared" ref="AL4:AL15" si="14">IFERROR((($AN$22/($E$24+AK4))*R4),"")</f>
        <v/>
      </c>
      <c r="AM4" s="156" t="e">
        <f t="shared" ref="AM4:AM17" si="15">IF($Y4=0,"",RANK($AL4,$AL$4:$AL$17,1)-COUNTIF($AL$4:$AL$17,0))</f>
        <v>#DIV/0!</v>
      </c>
      <c r="AN4" s="156" t="e">
        <f>IF(AM4=1,5,IF(AM4=2,4,IF(AM4=3,3,IF(AM4=4,2,IF(AM4=5,1,0)))))+O4</f>
        <v>#DIV/0!</v>
      </c>
      <c r="AO4" s="156" t="e">
        <f>AN4+'Race #5'!AO4</f>
        <v>#DIV/0!</v>
      </c>
      <c r="AP4" s="158" t="str">
        <f t="shared" ref="AP4:AP13" si="16">B4</f>
        <v>Estella</v>
      </c>
      <c r="AQ4" s="81"/>
      <c r="AT4" s="1" t="s">
        <v>139</v>
      </c>
    </row>
    <row r="5" spans="1:46" ht="30" customHeight="1" x14ac:dyDescent="0.2">
      <c r="B5" s="65" t="str">
        <f>'2026 Applebee Finish Summary'!I6</f>
        <v>Exit Strategy</v>
      </c>
      <c r="C5" s="423" t="str">
        <f>'2026 Applebee Finish Summary'!J6</f>
        <v>J Boats J-105</v>
      </c>
      <c r="D5" s="423" t="str">
        <f>'2026 Applebee Finish Summary'!K6</f>
        <v>John Stamos/John Woods</v>
      </c>
      <c r="E5" s="46">
        <f>'Handicaps-Roster'!G7</f>
        <v>87</v>
      </c>
      <c r="F5" s="46">
        <f>'Handicaps-Roster'!H7</f>
        <v>110</v>
      </c>
      <c r="G5" s="46">
        <f>'Race #5'!AH5</f>
        <v>78</v>
      </c>
      <c r="H5" s="58" t="e">
        <f t="shared" si="0"/>
        <v>#DIV/0!</v>
      </c>
      <c r="I5" s="46" t="e">
        <f>'Race #5'!AI5</f>
        <v>#DIV/0!</v>
      </c>
      <c r="J5" s="58" t="e">
        <f t="shared" si="1"/>
        <v>#DIV/0!</v>
      </c>
      <c r="K5" s="58" t="str">
        <f t="shared" ref="K5:K17" si="17">IF(N5&gt;0,"Yes","No")</f>
        <v>No</v>
      </c>
      <c r="L5" s="334">
        <f t="shared" si="2"/>
        <v>0</v>
      </c>
      <c r="M5" s="329"/>
      <c r="N5" s="329"/>
      <c r="O5" s="34">
        <f t="shared" ref="O5:O17" si="18">IF(N5&gt;0,1,0)</f>
        <v>0</v>
      </c>
      <c r="P5" s="330" t="str">
        <f t="shared" si="3"/>
        <v/>
      </c>
      <c r="Q5" s="160">
        <f>N5-M5</f>
        <v>0</v>
      </c>
      <c r="R5" s="161">
        <f>HOUR(Q5)*3600+MINUTE(Q5)*60+SECOND(Q5)</f>
        <v>0</v>
      </c>
      <c r="S5" s="161">
        <f t="shared" si="4"/>
        <v>0</v>
      </c>
      <c r="T5" s="331" t="s">
        <v>140</v>
      </c>
      <c r="U5" s="335" t="str">
        <f t="shared" ref="U5:U14" si="19">IF(O5=1,IF(T5="No",I5,G5),"")</f>
        <v/>
      </c>
      <c r="V5" s="336">
        <f t="shared" si="5"/>
        <v>0</v>
      </c>
      <c r="W5" s="336">
        <f t="shared" si="6"/>
        <v>0</v>
      </c>
      <c r="X5" s="161">
        <f t="shared" ref="X5:X14" si="20">R5-S5+V5</f>
        <v>0</v>
      </c>
      <c r="Y5" s="34" t="e">
        <f t="shared" ref="Y5:Y14" si="21">IF(T5="Yes",R5*H5,R5*J5)</f>
        <v>#DIV/0!</v>
      </c>
      <c r="Z5" s="62" t="str">
        <f t="shared" si="7"/>
        <v/>
      </c>
      <c r="AA5" s="62" t="e">
        <f t="shared" si="8"/>
        <v>#DIV/0!</v>
      </c>
      <c r="AB5" s="169" t="str">
        <f t="shared" si="9"/>
        <v/>
      </c>
      <c r="AC5" s="173">
        <f t="shared" si="10"/>
        <v>0</v>
      </c>
      <c r="AD5" s="34" t="e">
        <f t="shared" si="11"/>
        <v>#DIV/0!</v>
      </c>
      <c r="AE5" s="34" t="e">
        <f t="shared" si="12"/>
        <v>#DIV/0!</v>
      </c>
      <c r="AF5" s="34" t="e">
        <f>IF(AE5&gt;30,30,IF(AE5&lt;-30,-30,(AE5)))</f>
        <v>#DIV/0!</v>
      </c>
      <c r="AG5" s="78" t="e">
        <f t="shared" si="13"/>
        <v>#DIV/0!</v>
      </c>
      <c r="AH5" s="166">
        <f>MIN(MAX(IF(T5="Yes",G5+AG5,G5),'Handicaps-Roster'!L7),'Handicaps-Roster'!M7)</f>
        <v>78</v>
      </c>
      <c r="AI5" s="166" t="e">
        <f>MIN(MAX(IF(T5="No",I5+AG5,I5),'Handicaps-Roster'!N7),'Handicaps-Roster'!O7)</f>
        <v>#DIV/0!</v>
      </c>
      <c r="AJ5" s="174" t="e">
        <f>AC5+'Race #5'!AJ5</f>
        <v>#DIV/0!</v>
      </c>
      <c r="AK5" s="175" t="str">
        <f t="shared" ref="AK5:AK14" si="22">IF(O5=1,IF(T5="Yes",E5,F5),"")</f>
        <v/>
      </c>
      <c r="AL5" s="155" t="str">
        <f t="shared" si="14"/>
        <v/>
      </c>
      <c r="AM5" s="156" t="e">
        <f t="shared" si="15"/>
        <v>#DIV/0!</v>
      </c>
      <c r="AN5" s="156" t="e">
        <f t="shared" ref="AN5:AN14" si="23">IF(AM5=1,5,IF(AM5=2,4,IF(AM5=3,3,IF(AM5=4,2,IF(AM5=5,1,0)))))+O5</f>
        <v>#DIV/0!</v>
      </c>
      <c r="AO5" s="156" t="e">
        <f>AN5+'Race #5'!AO5</f>
        <v>#DIV/0!</v>
      </c>
      <c r="AP5" s="120" t="str">
        <f t="shared" si="16"/>
        <v>Exit Strategy</v>
      </c>
      <c r="AQ5" s="81"/>
      <c r="AT5" s="1" t="s">
        <v>140</v>
      </c>
    </row>
    <row r="6" spans="1:46" ht="30" customHeight="1" x14ac:dyDescent="0.2">
      <c r="B6" s="65" t="str">
        <f>'2026 Applebee Finish Summary'!I7</f>
        <v>Magoo</v>
      </c>
      <c r="C6" s="423" t="str">
        <f>'2026 Applebee Finish Summary'!J7</f>
        <v>Catalina 28 MK II</v>
      </c>
      <c r="D6" s="423" t="str">
        <f>'2026 Applebee Finish Summary'!K7</f>
        <v>Steve Luebkeman</v>
      </c>
      <c r="E6" s="46">
        <f>'Handicaps-Roster'!G8</f>
        <v>205</v>
      </c>
      <c r="F6" s="46">
        <f>'Handicaps-Roster'!H8</f>
        <v>208</v>
      </c>
      <c r="G6" s="46">
        <f>'Race #5'!AH6</f>
        <v>195</v>
      </c>
      <c r="H6" s="58" t="e">
        <f t="shared" si="0"/>
        <v>#DIV/0!</v>
      </c>
      <c r="I6" s="46" t="e">
        <f>'Race #5'!AI6</f>
        <v>#DIV/0!</v>
      </c>
      <c r="J6" s="58" t="e">
        <f t="shared" si="1"/>
        <v>#DIV/0!</v>
      </c>
      <c r="K6" s="58" t="str">
        <f t="shared" si="17"/>
        <v>No</v>
      </c>
      <c r="L6" s="334">
        <f t="shared" si="2"/>
        <v>0</v>
      </c>
      <c r="M6" s="329"/>
      <c r="N6" s="329"/>
      <c r="O6" s="34">
        <f t="shared" si="18"/>
        <v>0</v>
      </c>
      <c r="P6" s="337" t="str">
        <f t="shared" si="3"/>
        <v/>
      </c>
      <c r="Q6" s="160">
        <f t="shared" ref="Q6:Q14" si="24">N6-M6</f>
        <v>0</v>
      </c>
      <c r="R6" s="161">
        <f t="shared" ref="R6:R14" si="25">HOUR(Q6)*3600+MINUTE(Q6)*60+SECOND(Q6)</f>
        <v>0</v>
      </c>
      <c r="S6" s="161">
        <f t="shared" si="4"/>
        <v>0</v>
      </c>
      <c r="T6" s="331" t="s">
        <v>140</v>
      </c>
      <c r="U6" s="335" t="str">
        <f t="shared" si="19"/>
        <v/>
      </c>
      <c r="V6" s="336">
        <f t="shared" si="5"/>
        <v>0</v>
      </c>
      <c r="W6" s="336">
        <f t="shared" si="6"/>
        <v>0</v>
      </c>
      <c r="X6" s="161">
        <f t="shared" si="20"/>
        <v>0</v>
      </c>
      <c r="Y6" s="34" t="e">
        <f t="shared" si="21"/>
        <v>#DIV/0!</v>
      </c>
      <c r="Z6" s="62" t="str">
        <f t="shared" si="7"/>
        <v/>
      </c>
      <c r="AA6" s="62" t="e">
        <f t="shared" si="8"/>
        <v>#DIV/0!</v>
      </c>
      <c r="AB6" s="169" t="str">
        <f t="shared" si="9"/>
        <v/>
      </c>
      <c r="AC6" s="173">
        <f t="shared" si="10"/>
        <v>0</v>
      </c>
      <c r="AD6" s="34" t="e">
        <f t="shared" si="11"/>
        <v>#DIV/0!</v>
      </c>
      <c r="AE6" s="34" t="e">
        <f t="shared" si="12"/>
        <v>#DIV/0!</v>
      </c>
      <c r="AF6" s="34" t="e">
        <f t="shared" ref="AF6:AF14" si="26">IF(AE6&gt;30,30,IF(AE6&lt;-30,-30,(AE6)))</f>
        <v>#DIV/0!</v>
      </c>
      <c r="AG6" s="78" t="e">
        <f t="shared" si="13"/>
        <v>#DIV/0!</v>
      </c>
      <c r="AH6" s="166">
        <f>MIN(MAX(IF(T6="Yes",G6+AG6,G6),'Handicaps-Roster'!L8),'Handicaps-Roster'!M8)</f>
        <v>195</v>
      </c>
      <c r="AI6" s="166" t="e">
        <f>MIN(MAX(IF(T6="No",I6+AG6,I6),'Handicaps-Roster'!N8),'Handicaps-Roster'!O8)</f>
        <v>#DIV/0!</v>
      </c>
      <c r="AJ6" s="174" t="e">
        <f>AC6+'Race #5'!AJ6</f>
        <v>#DIV/0!</v>
      </c>
      <c r="AK6" s="175" t="str">
        <f t="shared" si="22"/>
        <v/>
      </c>
      <c r="AL6" s="194" t="str">
        <f t="shared" si="14"/>
        <v/>
      </c>
      <c r="AM6" s="156" t="e">
        <f t="shared" si="15"/>
        <v>#DIV/0!</v>
      </c>
      <c r="AN6" s="156" t="e">
        <f t="shared" si="23"/>
        <v>#DIV/0!</v>
      </c>
      <c r="AO6" s="156" t="e">
        <f>AN6+'Race #5'!AO6</f>
        <v>#DIV/0!</v>
      </c>
      <c r="AP6" s="120" t="str">
        <f t="shared" si="16"/>
        <v>Magoo</v>
      </c>
      <c r="AQ6" s="81"/>
    </row>
    <row r="7" spans="1:46" ht="30" customHeight="1" x14ac:dyDescent="0.2">
      <c r="B7" s="347" t="str">
        <f>'2026 Applebee Finish Summary'!I8</f>
        <v>Feng Shui</v>
      </c>
      <c r="C7" s="422" t="str">
        <f>'2026 Applebee Finish Summary'!J8</f>
        <v>C&amp;C 34</v>
      </c>
      <c r="D7" s="422" t="str">
        <f>'2026 Applebee Finish Summary'!K8</f>
        <v>Mike Finazzo</v>
      </c>
      <c r="E7" s="162">
        <f>'Handicaps-Roster'!G9</f>
        <v>157</v>
      </c>
      <c r="F7" s="162">
        <f>'Handicaps-Roster'!H9</f>
        <v>169</v>
      </c>
      <c r="G7" s="162">
        <f>'Race #5'!AH7</f>
        <v>175.1</v>
      </c>
      <c r="H7" s="61" t="e">
        <f t="shared" si="0"/>
        <v>#DIV/0!</v>
      </c>
      <c r="I7" s="162" t="e">
        <f>'Race #5'!AI7</f>
        <v>#DIV/0!</v>
      </c>
      <c r="J7" s="61" t="e">
        <f t="shared" si="1"/>
        <v>#DIV/0!</v>
      </c>
      <c r="K7" s="61" t="str">
        <f t="shared" si="17"/>
        <v>No</v>
      </c>
      <c r="L7" s="328">
        <f t="shared" si="2"/>
        <v>0</v>
      </c>
      <c r="M7" s="329"/>
      <c r="N7" s="329"/>
      <c r="O7" s="59">
        <f t="shared" si="18"/>
        <v>0</v>
      </c>
      <c r="P7" s="337" t="str">
        <f t="shared" si="3"/>
        <v/>
      </c>
      <c r="Q7" s="163">
        <f>N7-M7</f>
        <v>0</v>
      </c>
      <c r="R7" s="164">
        <f>HOUR(Q7)*3600+MINUTE(Q7)*60+SECOND(Q7)</f>
        <v>0</v>
      </c>
      <c r="S7" s="164">
        <f t="shared" si="4"/>
        <v>0</v>
      </c>
      <c r="T7" s="331" t="s">
        <v>140</v>
      </c>
      <c r="U7" s="332" t="str">
        <f t="shared" si="19"/>
        <v/>
      </c>
      <c r="V7" s="333">
        <f t="shared" si="5"/>
        <v>0</v>
      </c>
      <c r="W7" s="333">
        <f t="shared" si="6"/>
        <v>0</v>
      </c>
      <c r="X7" s="164">
        <f t="shared" si="20"/>
        <v>0</v>
      </c>
      <c r="Y7" s="59" t="e">
        <f t="shared" si="21"/>
        <v>#DIV/0!</v>
      </c>
      <c r="Z7" s="77" t="str">
        <f t="shared" si="7"/>
        <v/>
      </c>
      <c r="AA7" s="77" t="e">
        <f t="shared" si="8"/>
        <v>#DIV/0!</v>
      </c>
      <c r="AB7" s="169" t="str">
        <f t="shared" si="9"/>
        <v/>
      </c>
      <c r="AC7" s="173">
        <f t="shared" si="10"/>
        <v>0</v>
      </c>
      <c r="AD7" s="59" t="e">
        <f t="shared" si="11"/>
        <v>#DIV/0!</v>
      </c>
      <c r="AE7" s="59" t="e">
        <f t="shared" si="12"/>
        <v>#DIV/0!</v>
      </c>
      <c r="AF7" s="59" t="e">
        <f>IF(AE7&gt;30,30,IF(AE7&lt;-30,-30,(AE7)))</f>
        <v>#DIV/0!</v>
      </c>
      <c r="AG7" s="60" t="e">
        <f t="shared" si="13"/>
        <v>#DIV/0!</v>
      </c>
      <c r="AH7" s="165">
        <f>MIN(MAX(IF(T7="Yes",G7+AG7,G7),'Handicaps-Roster'!L9),'Handicaps-Roster'!M9)</f>
        <v>175.1</v>
      </c>
      <c r="AI7" s="165" t="e">
        <f>MIN(MAX(IF(T7="No",I7+AG7,I7),'Handicaps-Roster'!N9),'Handicaps-Roster'!O9)</f>
        <v>#DIV/0!</v>
      </c>
      <c r="AJ7" s="174" t="e">
        <f>AC7+'Race #5'!AJ7</f>
        <v>#DIV/0!</v>
      </c>
      <c r="AK7" s="176" t="str">
        <f t="shared" si="22"/>
        <v/>
      </c>
      <c r="AL7" s="195" t="str">
        <f t="shared" si="14"/>
        <v/>
      </c>
      <c r="AM7" s="156" t="e">
        <f t="shared" si="15"/>
        <v>#DIV/0!</v>
      </c>
      <c r="AN7" s="156" t="e">
        <f t="shared" si="23"/>
        <v>#DIV/0!</v>
      </c>
      <c r="AO7" s="156" t="e">
        <f>AN7+'Race #5'!AO7</f>
        <v>#DIV/0!</v>
      </c>
      <c r="AP7" s="158" t="str">
        <f t="shared" si="16"/>
        <v>Feng Shui</v>
      </c>
      <c r="AQ7" s="81"/>
    </row>
    <row r="8" spans="1:46" ht="30" customHeight="1" x14ac:dyDescent="0.2">
      <c r="B8" s="65" t="str">
        <f>'2026 Applebee Finish Summary'!I9</f>
        <v>Grin</v>
      </c>
      <c r="C8" s="423" t="str">
        <f>'2026 Applebee Finish Summary'!J9</f>
        <v>Ericson 32-200</v>
      </c>
      <c r="D8" s="423" t="str">
        <f>'2026 Applebee Finish Summary'!K9</f>
        <v>John Woomer</v>
      </c>
      <c r="E8" s="46">
        <f>'Handicaps-Roster'!G10</f>
        <v>165</v>
      </c>
      <c r="F8" s="46">
        <f>'Handicaps-Roster'!H10</f>
        <v>177</v>
      </c>
      <c r="G8" s="46">
        <f>'Race #5'!AH8</f>
        <v>198</v>
      </c>
      <c r="H8" s="58" t="e">
        <f t="shared" si="0"/>
        <v>#DIV/0!</v>
      </c>
      <c r="I8" s="46" t="e">
        <f>'Race #5'!AI8</f>
        <v>#DIV/0!</v>
      </c>
      <c r="J8" s="58" t="e">
        <f t="shared" si="1"/>
        <v>#DIV/0!</v>
      </c>
      <c r="K8" s="58" t="str">
        <f t="shared" si="17"/>
        <v>No</v>
      </c>
      <c r="L8" s="334">
        <f t="shared" si="2"/>
        <v>0</v>
      </c>
      <c r="M8" s="329"/>
      <c r="N8" s="329"/>
      <c r="O8" s="34">
        <f t="shared" si="18"/>
        <v>0</v>
      </c>
      <c r="P8" s="337" t="str">
        <f t="shared" si="3"/>
        <v/>
      </c>
      <c r="Q8" s="160">
        <f t="shared" si="24"/>
        <v>0</v>
      </c>
      <c r="R8" s="161">
        <f t="shared" si="25"/>
        <v>0</v>
      </c>
      <c r="S8" s="161">
        <f t="shared" si="4"/>
        <v>0</v>
      </c>
      <c r="T8" s="331" t="s">
        <v>140</v>
      </c>
      <c r="U8" s="335" t="str">
        <f t="shared" si="19"/>
        <v/>
      </c>
      <c r="V8" s="333">
        <f t="shared" si="5"/>
        <v>0</v>
      </c>
      <c r="W8" s="336">
        <f>IF(T8="Yes",(-(J8-H8)*R8),0)</f>
        <v>0</v>
      </c>
      <c r="X8" s="161">
        <f>R8-S8+V8</f>
        <v>0</v>
      </c>
      <c r="Y8" s="34" t="e">
        <f>IF(T8="Yes",R8*H8,R8*J8)</f>
        <v>#DIV/0!</v>
      </c>
      <c r="Z8" s="62" t="str">
        <f t="shared" si="7"/>
        <v/>
      </c>
      <c r="AA8" s="62" t="e">
        <f t="shared" si="8"/>
        <v>#DIV/0!</v>
      </c>
      <c r="AB8" s="169" t="str">
        <f t="shared" si="9"/>
        <v/>
      </c>
      <c r="AC8" s="173">
        <f t="shared" si="10"/>
        <v>0</v>
      </c>
      <c r="AD8" s="34" t="e">
        <f t="shared" si="11"/>
        <v>#DIV/0!</v>
      </c>
      <c r="AE8" s="34" t="e">
        <f t="shared" si="12"/>
        <v>#DIV/0!</v>
      </c>
      <c r="AF8" s="34" t="e">
        <f t="shared" si="26"/>
        <v>#DIV/0!</v>
      </c>
      <c r="AG8" s="78" t="e">
        <f t="shared" si="13"/>
        <v>#DIV/0!</v>
      </c>
      <c r="AH8" s="166">
        <f>MIN(MAX(IF(T8="Yes",G8+AG8,G8),'Handicaps-Roster'!L10),'Handicaps-Roster'!M10)</f>
        <v>198</v>
      </c>
      <c r="AI8" s="166" t="e">
        <f>MIN(MAX(IF(T8="No",I8+AG8,I8),'Handicaps-Roster'!N10),'Handicaps-Roster'!O10)</f>
        <v>#DIV/0!</v>
      </c>
      <c r="AJ8" s="174" t="e">
        <f>AC8+'Race #5'!AJ8</f>
        <v>#DIV/0!</v>
      </c>
      <c r="AK8" s="175" t="str">
        <f t="shared" si="22"/>
        <v/>
      </c>
      <c r="AL8" s="194" t="str">
        <f t="shared" si="14"/>
        <v/>
      </c>
      <c r="AM8" s="156" t="e">
        <f t="shared" si="15"/>
        <v>#DIV/0!</v>
      </c>
      <c r="AN8" s="156" t="e">
        <f t="shared" si="23"/>
        <v>#DIV/0!</v>
      </c>
      <c r="AO8" s="156" t="e">
        <f>AN8+'Race #5'!AO8</f>
        <v>#DIV/0!</v>
      </c>
      <c r="AP8" s="120" t="str">
        <f t="shared" si="16"/>
        <v>Grin</v>
      </c>
      <c r="AQ8" s="81"/>
    </row>
    <row r="9" spans="1:46" ht="30" customHeight="1" x14ac:dyDescent="0.2">
      <c r="B9" s="347" t="str">
        <f>'2026 Applebee Finish Summary'!I10</f>
        <v>Kristin B II</v>
      </c>
      <c r="C9" s="422" t="str">
        <f>'2026 Applebee Finish Summary'!J10</f>
        <v>Catalina 36 TM</v>
      </c>
      <c r="D9" s="422" t="str">
        <f>'2026 Applebee Finish Summary'!K10</f>
        <v>Mike Cann</v>
      </c>
      <c r="E9" s="162">
        <f>'Handicaps-Roster'!G11</f>
        <v>154</v>
      </c>
      <c r="F9" s="162">
        <f>'Handicaps-Roster'!H11</f>
        <v>163</v>
      </c>
      <c r="G9" s="162">
        <f>'Race #5'!AH9</f>
        <v>179.3</v>
      </c>
      <c r="H9" s="61" t="e">
        <f t="shared" si="0"/>
        <v>#DIV/0!</v>
      </c>
      <c r="I9" s="162" t="e">
        <f>'Race #5'!AI9</f>
        <v>#DIV/0!</v>
      </c>
      <c r="J9" s="61" t="e">
        <f t="shared" si="1"/>
        <v>#DIV/0!</v>
      </c>
      <c r="K9" s="61" t="str">
        <f t="shared" si="17"/>
        <v>No</v>
      </c>
      <c r="L9" s="328">
        <f t="shared" si="2"/>
        <v>0</v>
      </c>
      <c r="M9" s="329"/>
      <c r="N9" s="329"/>
      <c r="O9" s="59">
        <f t="shared" si="18"/>
        <v>0</v>
      </c>
      <c r="P9" s="337" t="str">
        <f t="shared" si="3"/>
        <v/>
      </c>
      <c r="Q9" s="163">
        <f t="shared" si="24"/>
        <v>0</v>
      </c>
      <c r="R9" s="164">
        <f t="shared" si="25"/>
        <v>0</v>
      </c>
      <c r="S9" s="164">
        <f t="shared" si="4"/>
        <v>0</v>
      </c>
      <c r="T9" s="331" t="s">
        <v>140</v>
      </c>
      <c r="U9" s="332" t="str">
        <f t="shared" si="19"/>
        <v/>
      </c>
      <c r="V9" s="333">
        <f t="shared" si="5"/>
        <v>0</v>
      </c>
      <c r="W9" s="333">
        <f t="shared" ref="W9:W17" si="27">IF(T9="Yes",(-(J9-H9)*R9),0)</f>
        <v>0</v>
      </c>
      <c r="X9" s="164">
        <f>R9-S9+V9</f>
        <v>0</v>
      </c>
      <c r="Y9" s="59" t="e">
        <f t="shared" si="21"/>
        <v>#DIV/0!</v>
      </c>
      <c r="Z9" s="77" t="str">
        <f t="shared" si="7"/>
        <v/>
      </c>
      <c r="AA9" s="77" t="e">
        <f t="shared" si="8"/>
        <v>#DIV/0!</v>
      </c>
      <c r="AB9" s="169" t="str">
        <f t="shared" si="9"/>
        <v/>
      </c>
      <c r="AC9" s="173">
        <f t="shared" si="10"/>
        <v>0</v>
      </c>
      <c r="AD9" s="59" t="e">
        <f t="shared" si="11"/>
        <v>#DIV/0!</v>
      </c>
      <c r="AE9" s="59" t="e">
        <f t="shared" si="12"/>
        <v>#DIV/0!</v>
      </c>
      <c r="AF9" s="59" t="e">
        <f t="shared" si="26"/>
        <v>#DIV/0!</v>
      </c>
      <c r="AG9" s="60" t="e">
        <f t="shared" si="13"/>
        <v>#DIV/0!</v>
      </c>
      <c r="AH9" s="165">
        <f>MIN(MAX(IF(T9="Yes",G9+AG9,G9),'Handicaps-Roster'!L11),'Handicaps-Roster'!M11)</f>
        <v>179.3</v>
      </c>
      <c r="AI9" s="165" t="e">
        <f>MIN(MAX(IF(T9="No",I9+AG9,I9),'Handicaps-Roster'!N11),'Handicaps-Roster'!O11)</f>
        <v>#DIV/0!</v>
      </c>
      <c r="AJ9" s="174" t="e">
        <f>AC9+'Race #5'!AJ9</f>
        <v>#DIV/0!</v>
      </c>
      <c r="AK9" s="176" t="str">
        <f t="shared" si="22"/>
        <v/>
      </c>
      <c r="AL9" s="195" t="str">
        <f t="shared" si="14"/>
        <v/>
      </c>
      <c r="AM9" s="156" t="e">
        <f t="shared" si="15"/>
        <v>#DIV/0!</v>
      </c>
      <c r="AN9" s="156" t="e">
        <f t="shared" si="23"/>
        <v>#DIV/0!</v>
      </c>
      <c r="AO9" s="156" t="e">
        <f>AN9+'Race #5'!AO9</f>
        <v>#DIV/0!</v>
      </c>
      <c r="AP9" s="158" t="str">
        <f t="shared" si="16"/>
        <v>Kristin B II</v>
      </c>
      <c r="AQ9" s="81"/>
    </row>
    <row r="10" spans="1:46" ht="30" customHeight="1" x14ac:dyDescent="0.2">
      <c r="A10" t="s">
        <v>296</v>
      </c>
      <c r="B10" s="65" t="str">
        <f>'2026 Applebee Finish Summary'!I11</f>
        <v>MacGuffin</v>
      </c>
      <c r="C10" s="423" t="str">
        <f>'2026 Applebee Finish Summary'!J11</f>
        <v>Shock Harbor 25</v>
      </c>
      <c r="D10" s="423" t="str">
        <f>'2026 Applebee Finish Summary'!K11</f>
        <v>Darryl Rosenbaum</v>
      </c>
      <c r="E10" s="46">
        <f>'Handicaps-Roster'!G12</f>
        <v>204</v>
      </c>
      <c r="F10" s="46">
        <f>'Handicaps-Roster'!H12</f>
        <v>204</v>
      </c>
      <c r="G10" s="46">
        <f>'Race #5'!AH10</f>
        <v>204</v>
      </c>
      <c r="H10" s="58" t="e">
        <f t="shared" si="0"/>
        <v>#DIV/0!</v>
      </c>
      <c r="I10" s="46" t="e">
        <f>'Race #5'!AI10</f>
        <v>#DIV/0!</v>
      </c>
      <c r="J10" s="58" t="e">
        <f t="shared" si="1"/>
        <v>#DIV/0!</v>
      </c>
      <c r="K10" s="58" t="str">
        <f t="shared" si="17"/>
        <v>No</v>
      </c>
      <c r="L10" s="334">
        <f t="shared" si="2"/>
        <v>0</v>
      </c>
      <c r="M10" s="329"/>
      <c r="N10" s="329"/>
      <c r="O10" s="34">
        <f t="shared" si="18"/>
        <v>0</v>
      </c>
      <c r="P10" s="337" t="str">
        <f t="shared" si="3"/>
        <v/>
      </c>
      <c r="Q10" s="160">
        <f t="shared" si="24"/>
        <v>0</v>
      </c>
      <c r="R10" s="161">
        <f t="shared" si="25"/>
        <v>0</v>
      </c>
      <c r="S10" s="161">
        <f t="shared" si="4"/>
        <v>0</v>
      </c>
      <c r="T10" s="331" t="s">
        <v>140</v>
      </c>
      <c r="U10" s="335" t="str">
        <f t="shared" si="19"/>
        <v/>
      </c>
      <c r="V10" s="336">
        <f t="shared" si="5"/>
        <v>0</v>
      </c>
      <c r="W10" s="336">
        <f t="shared" si="27"/>
        <v>0</v>
      </c>
      <c r="X10" s="161">
        <f t="shared" si="20"/>
        <v>0</v>
      </c>
      <c r="Y10" s="34" t="e">
        <f t="shared" si="21"/>
        <v>#DIV/0!</v>
      </c>
      <c r="Z10" s="62" t="str">
        <f t="shared" si="7"/>
        <v/>
      </c>
      <c r="AA10" s="62" t="e">
        <f t="shared" si="8"/>
        <v>#DIV/0!</v>
      </c>
      <c r="AB10" s="169" t="str">
        <f t="shared" si="9"/>
        <v/>
      </c>
      <c r="AC10" s="173">
        <f t="shared" si="10"/>
        <v>0</v>
      </c>
      <c r="AD10" s="34" t="e">
        <f t="shared" si="11"/>
        <v>#DIV/0!</v>
      </c>
      <c r="AE10" s="34" t="e">
        <f t="shared" si="12"/>
        <v>#DIV/0!</v>
      </c>
      <c r="AF10" s="34" t="e">
        <f t="shared" si="26"/>
        <v>#DIV/0!</v>
      </c>
      <c r="AG10" s="78" t="e">
        <f t="shared" si="13"/>
        <v>#DIV/0!</v>
      </c>
      <c r="AH10" s="166">
        <f>MIN(MAX(IF(T10="Yes",G10+AG10,G10),'Handicaps-Roster'!L12),'Handicaps-Roster'!M12)</f>
        <v>204</v>
      </c>
      <c r="AI10" s="166" t="e">
        <f>MIN(MAX(IF(T10="No",I10+AG10,I10),'Handicaps-Roster'!N12),'Handicaps-Roster'!O12)</f>
        <v>#DIV/0!</v>
      </c>
      <c r="AJ10" s="174" t="e">
        <f>AC10+'Race #5'!AJ10</f>
        <v>#DIV/0!</v>
      </c>
      <c r="AK10" s="175" t="str">
        <f t="shared" si="22"/>
        <v/>
      </c>
      <c r="AL10" s="194" t="str">
        <f t="shared" si="14"/>
        <v/>
      </c>
      <c r="AM10" s="156" t="e">
        <f t="shared" si="15"/>
        <v>#DIV/0!</v>
      </c>
      <c r="AN10" s="156" t="e">
        <f t="shared" si="23"/>
        <v>#DIV/0!</v>
      </c>
      <c r="AO10" s="156" t="e">
        <f>AN10+'Race #5'!AO10</f>
        <v>#DIV/0!</v>
      </c>
      <c r="AP10" s="120" t="str">
        <f t="shared" si="16"/>
        <v>MacGuffin</v>
      </c>
      <c r="AQ10" s="81"/>
    </row>
    <row r="11" spans="1:46" ht="30" customHeight="1" x14ac:dyDescent="0.2">
      <c r="B11" s="347" t="str">
        <f>'2026 Applebee Finish Summary'!I12</f>
        <v>Mirabelle</v>
      </c>
      <c r="C11" s="422" t="str">
        <f>'2026 Applebee Finish Summary'!J12</f>
        <v>Cape Dory 32</v>
      </c>
      <c r="D11" s="422" t="str">
        <f>'2026 Applebee Finish Summary'!K12</f>
        <v>Campbell McLeod</v>
      </c>
      <c r="E11" s="162">
        <f>'Handicaps-Roster'!G13</f>
        <v>204</v>
      </c>
      <c r="F11" s="162">
        <f>'Handicaps-Roster'!H13</f>
        <v>216</v>
      </c>
      <c r="G11" s="162">
        <f>'Race #5'!AH11</f>
        <v>233.5</v>
      </c>
      <c r="H11" s="61" t="e">
        <f t="shared" si="0"/>
        <v>#DIV/0!</v>
      </c>
      <c r="I11" s="162" t="e">
        <f>'Race #5'!AI11</f>
        <v>#DIV/0!</v>
      </c>
      <c r="J11" s="61" t="e">
        <f t="shared" si="1"/>
        <v>#DIV/0!</v>
      </c>
      <c r="K11" s="61" t="str">
        <f t="shared" si="17"/>
        <v>No</v>
      </c>
      <c r="L11" s="328">
        <f t="shared" si="2"/>
        <v>0</v>
      </c>
      <c r="M11" s="329"/>
      <c r="N11" s="329"/>
      <c r="O11" s="59">
        <f t="shared" si="18"/>
        <v>0</v>
      </c>
      <c r="P11" s="337" t="str">
        <f t="shared" si="3"/>
        <v/>
      </c>
      <c r="Q11" s="163">
        <f t="shared" si="24"/>
        <v>0</v>
      </c>
      <c r="R11" s="164">
        <f t="shared" si="25"/>
        <v>0</v>
      </c>
      <c r="S11" s="164">
        <f t="shared" si="4"/>
        <v>0</v>
      </c>
      <c r="T11" s="331" t="s">
        <v>140</v>
      </c>
      <c r="U11" s="332" t="str">
        <f t="shared" si="19"/>
        <v/>
      </c>
      <c r="V11" s="333">
        <f t="shared" si="5"/>
        <v>0</v>
      </c>
      <c r="W11" s="333">
        <f t="shared" si="27"/>
        <v>0</v>
      </c>
      <c r="X11" s="164">
        <f t="shared" si="20"/>
        <v>0</v>
      </c>
      <c r="Y11" s="59" t="e">
        <f t="shared" si="21"/>
        <v>#DIV/0!</v>
      </c>
      <c r="Z11" s="77" t="str">
        <f t="shared" si="7"/>
        <v/>
      </c>
      <c r="AA11" s="77" t="e">
        <f t="shared" si="8"/>
        <v>#DIV/0!</v>
      </c>
      <c r="AB11" s="169" t="str">
        <f t="shared" si="9"/>
        <v/>
      </c>
      <c r="AC11" s="173">
        <f t="shared" si="10"/>
        <v>0</v>
      </c>
      <c r="AD11" s="59" t="e">
        <f t="shared" si="11"/>
        <v>#DIV/0!</v>
      </c>
      <c r="AE11" s="59" t="e">
        <f t="shared" si="12"/>
        <v>#DIV/0!</v>
      </c>
      <c r="AF11" s="59" t="e">
        <f t="shared" si="26"/>
        <v>#DIV/0!</v>
      </c>
      <c r="AG11" s="60" t="e">
        <f t="shared" si="13"/>
        <v>#DIV/0!</v>
      </c>
      <c r="AH11" s="165">
        <f>MIN(MAX(IF(T11="Yes",G11+AG11,G11),'Handicaps-Roster'!L13),'Handicaps-Roster'!M13)</f>
        <v>233.5</v>
      </c>
      <c r="AI11" s="165" t="e">
        <f>MIN(MAX(IF(T11="No",I11+AG11,I11),'Handicaps-Roster'!N13),'Handicaps-Roster'!O13)</f>
        <v>#DIV/0!</v>
      </c>
      <c r="AJ11" s="174" t="e">
        <f>AC11+'Race #5'!AJ11</f>
        <v>#DIV/0!</v>
      </c>
      <c r="AK11" s="176" t="str">
        <f t="shared" si="22"/>
        <v/>
      </c>
      <c r="AL11" s="195" t="str">
        <f t="shared" si="14"/>
        <v/>
      </c>
      <c r="AM11" s="156" t="e">
        <f t="shared" si="15"/>
        <v>#DIV/0!</v>
      </c>
      <c r="AN11" s="156" t="e">
        <f t="shared" si="23"/>
        <v>#DIV/0!</v>
      </c>
      <c r="AO11" s="156" t="e">
        <f>AN11+'Race #5'!AO11</f>
        <v>#DIV/0!</v>
      </c>
      <c r="AP11" s="158" t="str">
        <f t="shared" si="16"/>
        <v>Mirabelle</v>
      </c>
      <c r="AQ11" s="81"/>
    </row>
    <row r="12" spans="1:46" ht="30" customHeight="1" x14ac:dyDescent="0.2">
      <c r="B12" s="65" t="str">
        <f>'2026 Applebee Finish Summary'!I13</f>
        <v>Outrageous</v>
      </c>
      <c r="C12" s="423" t="str">
        <f>'2026 Applebee Finish Summary'!J13</f>
        <v>Tanzer 22</v>
      </c>
      <c r="D12" s="423" t="str">
        <f>'2026 Applebee Finish Summary'!K13</f>
        <v>Don Webb</v>
      </c>
      <c r="E12" s="46">
        <f>'Handicaps-Roster'!G14</f>
        <v>254</v>
      </c>
      <c r="F12" s="46">
        <f>'Handicaps-Roster'!H14</f>
        <v>261</v>
      </c>
      <c r="G12" s="46">
        <f>'Race #5'!AH12</f>
        <v>252.6</v>
      </c>
      <c r="H12" s="58" t="e">
        <f t="shared" si="0"/>
        <v>#DIV/0!</v>
      </c>
      <c r="I12" s="46" t="e">
        <f>'Race #5'!AI12</f>
        <v>#DIV/0!</v>
      </c>
      <c r="J12" s="58" t="e">
        <f t="shared" si="1"/>
        <v>#DIV/0!</v>
      </c>
      <c r="K12" s="58" t="str">
        <f t="shared" si="17"/>
        <v>No</v>
      </c>
      <c r="L12" s="334">
        <f t="shared" si="2"/>
        <v>0</v>
      </c>
      <c r="M12" s="329"/>
      <c r="N12" s="329"/>
      <c r="O12" s="34">
        <f t="shared" si="18"/>
        <v>0</v>
      </c>
      <c r="P12" s="337" t="str">
        <f t="shared" si="3"/>
        <v/>
      </c>
      <c r="Q12" s="160">
        <f t="shared" si="24"/>
        <v>0</v>
      </c>
      <c r="R12" s="161">
        <f t="shared" si="25"/>
        <v>0</v>
      </c>
      <c r="S12" s="161">
        <f t="shared" si="4"/>
        <v>0</v>
      </c>
      <c r="T12" s="331" t="s">
        <v>140</v>
      </c>
      <c r="U12" s="335" t="str">
        <f t="shared" si="19"/>
        <v/>
      </c>
      <c r="V12" s="336">
        <f t="shared" si="5"/>
        <v>0</v>
      </c>
      <c r="W12" s="336">
        <f t="shared" si="27"/>
        <v>0</v>
      </c>
      <c r="X12" s="161">
        <f t="shared" si="20"/>
        <v>0</v>
      </c>
      <c r="Y12" s="34" t="e">
        <f t="shared" si="21"/>
        <v>#DIV/0!</v>
      </c>
      <c r="Z12" s="62" t="str">
        <f t="shared" si="7"/>
        <v/>
      </c>
      <c r="AA12" s="62" t="e">
        <f t="shared" si="8"/>
        <v>#DIV/0!</v>
      </c>
      <c r="AB12" s="169" t="str">
        <f t="shared" si="9"/>
        <v/>
      </c>
      <c r="AC12" s="173">
        <f t="shared" si="10"/>
        <v>0</v>
      </c>
      <c r="AD12" s="34" t="e">
        <f t="shared" si="11"/>
        <v>#DIV/0!</v>
      </c>
      <c r="AE12" s="34" t="e">
        <f t="shared" si="12"/>
        <v>#DIV/0!</v>
      </c>
      <c r="AF12" s="34" t="e">
        <f t="shared" si="26"/>
        <v>#DIV/0!</v>
      </c>
      <c r="AG12" s="78" t="e">
        <f t="shared" si="13"/>
        <v>#DIV/0!</v>
      </c>
      <c r="AH12" s="166">
        <f>MIN(MAX(IF(T12="Yes",G12+AG12,G12),'Handicaps-Roster'!L14),'Handicaps-Roster'!M14)</f>
        <v>252.6</v>
      </c>
      <c r="AI12" s="166" t="e">
        <f>MIN(MAX(IF(T12="No",I12+AG12,I12),'Handicaps-Roster'!N14),'Handicaps-Roster'!O14)</f>
        <v>#DIV/0!</v>
      </c>
      <c r="AJ12" s="174" t="e">
        <f>AC12+'Race #5'!AJ12</f>
        <v>#DIV/0!</v>
      </c>
      <c r="AK12" s="175" t="str">
        <f t="shared" si="22"/>
        <v/>
      </c>
      <c r="AL12" s="194" t="str">
        <f t="shared" si="14"/>
        <v/>
      </c>
      <c r="AM12" s="156" t="e">
        <f t="shared" si="15"/>
        <v>#DIV/0!</v>
      </c>
      <c r="AN12" s="156" t="e">
        <f t="shared" si="23"/>
        <v>#DIV/0!</v>
      </c>
      <c r="AO12" s="156" t="e">
        <f>AN12+'Race #5'!AO12</f>
        <v>#DIV/0!</v>
      </c>
      <c r="AP12" s="120" t="str">
        <f t="shared" si="16"/>
        <v>Outrageous</v>
      </c>
      <c r="AQ12" s="81"/>
    </row>
    <row r="13" spans="1:46" ht="30" customHeight="1" x14ac:dyDescent="0.2">
      <c r="B13" s="347" t="str">
        <f>'2026 Applebee Finish Summary'!I14</f>
        <v>Paradox</v>
      </c>
      <c r="C13" s="422" t="str">
        <f>'2026 Applebee Finish Summary'!J14</f>
        <v>J 92</v>
      </c>
      <c r="D13" s="422" t="str">
        <f>'2026 Applebee Finish Summary'!K14</f>
        <v>Glenn VanOtteren/Ted Standiford</v>
      </c>
      <c r="E13" s="162">
        <f>'Handicaps-Roster'!G15</f>
        <v>111</v>
      </c>
      <c r="F13" s="162">
        <f>'Handicaps-Roster'!H15</f>
        <v>132</v>
      </c>
      <c r="G13" s="162">
        <f>'Race #5'!AH13</f>
        <v>94.35</v>
      </c>
      <c r="H13" s="61" t="e">
        <f t="shared" si="0"/>
        <v>#DIV/0!</v>
      </c>
      <c r="I13" s="162" t="e">
        <f>'Race #5'!AI13</f>
        <v>#DIV/0!</v>
      </c>
      <c r="J13" s="61" t="e">
        <f t="shared" si="1"/>
        <v>#DIV/0!</v>
      </c>
      <c r="K13" s="61" t="str">
        <f t="shared" si="17"/>
        <v>No</v>
      </c>
      <c r="L13" s="328">
        <f t="shared" si="2"/>
        <v>0</v>
      </c>
      <c r="M13" s="329"/>
      <c r="N13" s="329"/>
      <c r="O13" s="59">
        <f t="shared" si="18"/>
        <v>0</v>
      </c>
      <c r="P13" s="337" t="str">
        <f t="shared" si="3"/>
        <v/>
      </c>
      <c r="Q13" s="163">
        <f t="shared" si="24"/>
        <v>0</v>
      </c>
      <c r="R13" s="164">
        <f t="shared" si="25"/>
        <v>0</v>
      </c>
      <c r="S13" s="164">
        <f t="shared" si="4"/>
        <v>0</v>
      </c>
      <c r="T13" s="331" t="s">
        <v>140</v>
      </c>
      <c r="U13" s="165" t="str">
        <f t="shared" si="19"/>
        <v/>
      </c>
      <c r="V13" s="333">
        <f t="shared" si="5"/>
        <v>0</v>
      </c>
      <c r="W13" s="333">
        <f t="shared" si="27"/>
        <v>0</v>
      </c>
      <c r="X13" s="164">
        <f t="shared" si="20"/>
        <v>0</v>
      </c>
      <c r="Y13" s="59" t="e">
        <f t="shared" si="21"/>
        <v>#DIV/0!</v>
      </c>
      <c r="Z13" s="77" t="str">
        <f t="shared" si="7"/>
        <v/>
      </c>
      <c r="AA13" s="77" t="e">
        <f t="shared" si="8"/>
        <v>#DIV/0!</v>
      </c>
      <c r="AB13" s="169" t="str">
        <f t="shared" si="9"/>
        <v/>
      </c>
      <c r="AC13" s="173">
        <f t="shared" si="10"/>
        <v>0</v>
      </c>
      <c r="AD13" s="59" t="e">
        <f t="shared" si="11"/>
        <v>#DIV/0!</v>
      </c>
      <c r="AE13" s="59" t="e">
        <f t="shared" si="12"/>
        <v>#DIV/0!</v>
      </c>
      <c r="AF13" s="59" t="e">
        <f t="shared" si="26"/>
        <v>#DIV/0!</v>
      </c>
      <c r="AG13" s="60" t="e">
        <f t="shared" si="13"/>
        <v>#DIV/0!</v>
      </c>
      <c r="AH13" s="165">
        <f>MIN(MAX(IF(T13="Yes",G13+AG13,G13),'Handicaps-Roster'!L15),'Handicaps-Roster'!M15)</f>
        <v>94.35</v>
      </c>
      <c r="AI13" s="165" t="e">
        <f>MIN(MAX(IF(T13="No",I13+AG13,I13),'Handicaps-Roster'!N15),'Handicaps-Roster'!O15)</f>
        <v>#DIV/0!</v>
      </c>
      <c r="AJ13" s="174" t="e">
        <f>AC13+'Race #5'!AJ13</f>
        <v>#DIV/0!</v>
      </c>
      <c r="AK13" s="176" t="str">
        <f t="shared" si="22"/>
        <v/>
      </c>
      <c r="AL13" s="195" t="str">
        <f t="shared" si="14"/>
        <v/>
      </c>
      <c r="AM13" s="156" t="e">
        <f t="shared" si="15"/>
        <v>#DIV/0!</v>
      </c>
      <c r="AN13" s="156" t="e">
        <f t="shared" si="23"/>
        <v>#DIV/0!</v>
      </c>
      <c r="AO13" s="156" t="e">
        <f>AN13+'Race #5'!AO13</f>
        <v>#DIV/0!</v>
      </c>
      <c r="AP13" s="158" t="str">
        <f t="shared" si="16"/>
        <v>Paradox</v>
      </c>
      <c r="AQ13" s="81"/>
    </row>
    <row r="14" spans="1:46" ht="30" customHeight="1" x14ac:dyDescent="0.2">
      <c r="B14" s="65" t="str">
        <f>'2026 Applebee Finish Summary'!I15</f>
        <v>Pegasus</v>
      </c>
      <c r="C14" s="423" t="str">
        <f>'2026 Applebee Finish Summary'!J15</f>
        <v>Catalina 320</v>
      </c>
      <c r="D14" s="423" t="str">
        <f>'2026 Applebee Finish Summary'!K15</f>
        <v>Bill Allen</v>
      </c>
      <c r="E14" s="46">
        <f>'Handicaps-Roster'!G16</f>
        <v>162</v>
      </c>
      <c r="F14" s="46">
        <f>'Handicaps-Roster'!H16</f>
        <v>171</v>
      </c>
      <c r="G14" s="46">
        <f>'Race #5'!AH14</f>
        <v>137.69999999999999</v>
      </c>
      <c r="H14" s="58" t="e">
        <f t="shared" si="0"/>
        <v>#DIV/0!</v>
      </c>
      <c r="I14" s="46" t="e">
        <f>'Race #5'!AI14</f>
        <v>#DIV/0!</v>
      </c>
      <c r="J14" s="58" t="e">
        <f t="shared" si="1"/>
        <v>#DIV/0!</v>
      </c>
      <c r="K14" s="58" t="str">
        <f t="shared" si="17"/>
        <v>No</v>
      </c>
      <c r="L14" s="334">
        <f t="shared" si="2"/>
        <v>0</v>
      </c>
      <c r="M14" s="329"/>
      <c r="N14" s="329"/>
      <c r="O14" s="34">
        <f t="shared" si="18"/>
        <v>0</v>
      </c>
      <c r="P14" s="337" t="str">
        <f t="shared" si="3"/>
        <v/>
      </c>
      <c r="Q14" s="160">
        <f t="shared" si="24"/>
        <v>0</v>
      </c>
      <c r="R14" s="161">
        <f t="shared" si="25"/>
        <v>0</v>
      </c>
      <c r="S14" s="161">
        <f t="shared" si="4"/>
        <v>0</v>
      </c>
      <c r="T14" s="331" t="s">
        <v>140</v>
      </c>
      <c r="U14" s="335" t="str">
        <f t="shared" si="19"/>
        <v/>
      </c>
      <c r="V14" s="336">
        <f t="shared" si="5"/>
        <v>0</v>
      </c>
      <c r="W14" s="336">
        <f t="shared" si="27"/>
        <v>0</v>
      </c>
      <c r="X14" s="161">
        <f t="shared" si="20"/>
        <v>0</v>
      </c>
      <c r="Y14" s="34" t="e">
        <f t="shared" si="21"/>
        <v>#DIV/0!</v>
      </c>
      <c r="Z14" s="62" t="str">
        <f t="shared" si="7"/>
        <v/>
      </c>
      <c r="AA14" s="62" t="e">
        <f t="shared" si="8"/>
        <v>#DIV/0!</v>
      </c>
      <c r="AB14" s="169" t="str">
        <f t="shared" si="9"/>
        <v/>
      </c>
      <c r="AC14" s="173">
        <f t="shared" si="10"/>
        <v>0</v>
      </c>
      <c r="AD14" s="34" t="e">
        <f t="shared" si="11"/>
        <v>#DIV/0!</v>
      </c>
      <c r="AE14" s="34" t="e">
        <f t="shared" si="12"/>
        <v>#DIV/0!</v>
      </c>
      <c r="AF14" s="34" t="e">
        <f t="shared" si="26"/>
        <v>#DIV/0!</v>
      </c>
      <c r="AG14" s="78" t="e">
        <f t="shared" si="13"/>
        <v>#DIV/0!</v>
      </c>
      <c r="AH14" s="166">
        <f>MIN(MAX(IF(T14="Yes",G14+AG14,G14),'Handicaps-Roster'!L16),'Handicaps-Roster'!M16)</f>
        <v>137.69999999999999</v>
      </c>
      <c r="AI14" s="166" t="e">
        <f>MIN(MAX(IF(T14="No",I14+AG14,I14),'Handicaps-Roster'!N16),'Handicaps-Roster'!O16)</f>
        <v>#DIV/0!</v>
      </c>
      <c r="AJ14" s="174" t="e">
        <f>AC14+'Race #5'!AJ14</f>
        <v>#DIV/0!</v>
      </c>
      <c r="AK14" s="175" t="str">
        <f t="shared" si="22"/>
        <v/>
      </c>
      <c r="AL14" s="194" t="str">
        <f t="shared" si="14"/>
        <v/>
      </c>
      <c r="AM14" s="156" t="e">
        <f t="shared" si="15"/>
        <v>#DIV/0!</v>
      </c>
      <c r="AN14" s="156" t="e">
        <f t="shared" si="23"/>
        <v>#DIV/0!</v>
      </c>
      <c r="AO14" s="156" t="e">
        <f>AN14+'Race #5'!AO14</f>
        <v>#DIV/0!</v>
      </c>
      <c r="AP14" s="120" t="str">
        <f>B14</f>
        <v>Pegasus</v>
      </c>
      <c r="AQ14" s="81"/>
    </row>
    <row r="15" spans="1:46" ht="30" customHeight="1" x14ac:dyDescent="0.2">
      <c r="B15" s="348" t="str">
        <f>'2026 Applebee Finish Summary'!I16</f>
        <v>Triton</v>
      </c>
      <c r="C15" s="424" t="str">
        <f>'2026 Applebee Finish Summary'!J16</f>
        <v>Hans Christian 43</v>
      </c>
      <c r="D15" s="424" t="str">
        <f>'2026 Applebee Finish Summary'!K16</f>
        <v>Alex Parks</v>
      </c>
      <c r="E15" s="46">
        <f>'Handicaps-Roster'!G17</f>
        <v>162</v>
      </c>
      <c r="F15" s="46">
        <f>'Handicaps-Roster'!H17</f>
        <v>177</v>
      </c>
      <c r="G15" s="46">
        <f>'Race #5'!AH15</f>
        <v>194.4</v>
      </c>
      <c r="H15" s="58" t="e">
        <f t="shared" si="0"/>
        <v>#DIV/0!</v>
      </c>
      <c r="I15" s="46" t="e">
        <f>'Race #5'!AI15</f>
        <v>#DIV/0!</v>
      </c>
      <c r="J15" s="58" t="e">
        <f t="shared" si="1"/>
        <v>#DIV/0!</v>
      </c>
      <c r="K15" s="412" t="str">
        <f t="shared" si="17"/>
        <v>No</v>
      </c>
      <c r="L15" s="334">
        <f>IF(K15="Yes",1,0)</f>
        <v>0</v>
      </c>
      <c r="M15" s="329"/>
      <c r="N15" s="329"/>
      <c r="O15" s="34">
        <f t="shared" si="18"/>
        <v>0</v>
      </c>
      <c r="P15" s="337" t="str">
        <f t="shared" si="3"/>
        <v/>
      </c>
      <c r="Q15" s="160">
        <f>N15-M15</f>
        <v>0</v>
      </c>
      <c r="R15" s="161">
        <f>HOUR(Q15)*3600+MINUTE(Q15)*60+SECOND(Q15)</f>
        <v>0</v>
      </c>
      <c r="S15" s="161">
        <f t="shared" si="4"/>
        <v>0</v>
      </c>
      <c r="T15" s="331" t="s">
        <v>140</v>
      </c>
      <c r="U15" s="335" t="str">
        <f>IF(O15=1,IF(T15="No",I15,G15),"")</f>
        <v/>
      </c>
      <c r="V15" s="336">
        <f t="shared" si="5"/>
        <v>0</v>
      </c>
      <c r="W15" s="336">
        <f t="shared" si="27"/>
        <v>0</v>
      </c>
      <c r="X15" s="161">
        <f>R15-S15+V15</f>
        <v>0</v>
      </c>
      <c r="Y15" s="34" t="e">
        <f>IF(T15="Yes",R15*H15,R15*J15)</f>
        <v>#DIV/0!</v>
      </c>
      <c r="Z15" s="62" t="str">
        <f t="shared" si="7"/>
        <v/>
      </c>
      <c r="AA15" s="62" t="e">
        <f t="shared" si="8"/>
        <v>#DIV/0!</v>
      </c>
      <c r="AB15" s="169" t="str">
        <f t="shared" si="9"/>
        <v/>
      </c>
      <c r="AC15" s="173">
        <f t="shared" si="10"/>
        <v>0</v>
      </c>
      <c r="AD15" s="34" t="e">
        <f t="shared" si="11"/>
        <v>#DIV/0!</v>
      </c>
      <c r="AE15" s="34" t="e">
        <f t="shared" si="12"/>
        <v>#DIV/0!</v>
      </c>
      <c r="AF15" s="34" t="e">
        <f>IF(AE15&gt;30,30,IF(AE15&lt;-30,-30,(AE15)))</f>
        <v>#DIV/0!</v>
      </c>
      <c r="AG15" s="78" t="e">
        <f t="shared" si="13"/>
        <v>#DIV/0!</v>
      </c>
      <c r="AH15" s="166">
        <f>MIN(MAX(IF(T15="Yes",G15+AG15,G15),'Handicaps-Roster'!L17),'Handicaps-Roster'!M17)</f>
        <v>194.4</v>
      </c>
      <c r="AI15" s="166" t="e">
        <f>MIN(MAX(IF(T15="No",I15+AG15,I15),'Handicaps-Roster'!N17),'Handicaps-Roster'!O17)</f>
        <v>#DIV/0!</v>
      </c>
      <c r="AJ15" s="174" t="e">
        <f>AC15+'Race #5'!AJ15</f>
        <v>#DIV/0!</v>
      </c>
      <c r="AK15" s="175" t="str">
        <f>IF(O15=1,IF(T15="Yes",E15,F15),"")</f>
        <v/>
      </c>
      <c r="AL15" s="194" t="str">
        <f t="shared" si="14"/>
        <v/>
      </c>
      <c r="AM15" s="156" t="e">
        <f t="shared" si="15"/>
        <v>#DIV/0!</v>
      </c>
      <c r="AN15" s="156" t="e">
        <f>IF(AM15=1,5,IF(AM15=2,4,IF(AM15=3,3,IF(AM15=4,2,IF(AM15=5,1,0)))))+O15</f>
        <v>#DIV/0!</v>
      </c>
      <c r="AO15" s="156" t="e">
        <f>AN15+'Race #5'!AO15</f>
        <v>#DIV/0!</v>
      </c>
      <c r="AP15" s="120" t="str">
        <f>B15</f>
        <v>Triton</v>
      </c>
      <c r="AQ15" s="81"/>
    </row>
    <row r="16" spans="1:46" ht="30" customHeight="1" x14ac:dyDescent="0.2">
      <c r="B16" s="349" t="str">
        <f>'2026 Applebee Finish Summary'!I17</f>
        <v>Lone Gull</v>
      </c>
      <c r="C16" s="425" t="str">
        <f>'2026 Applebee Finish Summary'!J17</f>
        <v>Cal 20</v>
      </c>
      <c r="D16" s="425" t="str">
        <f>'2026 Applebee Finish Summary'!K17</f>
        <v>Kevin Savage</v>
      </c>
      <c r="E16" s="162">
        <f>'Handicaps-Roster'!G18</f>
        <v>280</v>
      </c>
      <c r="F16" s="162">
        <f>'Handicaps-Roster'!H18</f>
        <v>288</v>
      </c>
      <c r="G16" s="162">
        <f>'Race #5'!AH16</f>
        <v>280</v>
      </c>
      <c r="H16" s="61" t="e">
        <f t="shared" ref="H16:H17" si="28">$E$31/($E$24+G16)</f>
        <v>#DIV/0!</v>
      </c>
      <c r="I16" s="162" t="e">
        <f>'Race #5'!AI16</f>
        <v>#DIV/0!</v>
      </c>
      <c r="J16" s="61" t="e">
        <f t="shared" ref="J16:J17" si="29">$E$31/($E$24+I16)</f>
        <v>#DIV/0!</v>
      </c>
      <c r="K16" s="414" t="str">
        <f t="shared" si="17"/>
        <v>No</v>
      </c>
      <c r="L16" s="328">
        <f t="shared" ref="L16:L17" si="30">IF(K16="Yes",1,0)</f>
        <v>0</v>
      </c>
      <c r="M16" s="329"/>
      <c r="N16" s="329"/>
      <c r="O16" s="59">
        <f t="shared" si="18"/>
        <v>0</v>
      </c>
      <c r="P16" s="337" t="str">
        <f t="shared" si="3"/>
        <v/>
      </c>
      <c r="Q16" s="163">
        <f t="shared" ref="Q16:Q17" si="31">N16-M16</f>
        <v>0</v>
      </c>
      <c r="R16" s="164">
        <f t="shared" ref="R16:R17" si="32">HOUR(Q16)*3600+MINUTE(Q16)*60+SECOND(Q16)</f>
        <v>0</v>
      </c>
      <c r="S16" s="164">
        <f t="shared" ref="S16:S17" si="33">IF(N16&gt;0,($I16*$E$20),0)</f>
        <v>0</v>
      </c>
      <c r="T16" s="331" t="s">
        <v>140</v>
      </c>
      <c r="U16" s="332" t="str">
        <f t="shared" ref="U16:U17" si="34">IF(O16=1,IF(T16="No",I16,G16),"")</f>
        <v/>
      </c>
      <c r="V16" s="333">
        <f t="shared" si="5"/>
        <v>0</v>
      </c>
      <c r="W16" s="333">
        <f t="shared" si="27"/>
        <v>0</v>
      </c>
      <c r="X16" s="164">
        <f t="shared" ref="X16:X17" si="35">R16-S16+V16</f>
        <v>0</v>
      </c>
      <c r="Y16" s="59" t="e">
        <f t="shared" ref="Y16:Y17" si="36">IF(T16="Yes",R16*H16,R16*J16)</f>
        <v>#DIV/0!</v>
      </c>
      <c r="Z16" s="77" t="str">
        <f t="shared" si="7"/>
        <v/>
      </c>
      <c r="AA16" s="77" t="e">
        <f t="shared" si="8"/>
        <v>#DIV/0!</v>
      </c>
      <c r="AB16" s="169" t="str">
        <f t="shared" ref="AB16:AB17" si="37">IF($E$21="Yes",Z16,AA16)</f>
        <v/>
      </c>
      <c r="AC16" s="173">
        <f t="shared" ref="AC16:AC17" si="38">IF($E$21="Yes",IF(Z16=1,5,IF(Z16=2,4,IF(Z16=3,3,IF(Z16=4,2,IF(Z16=5,1,0))))),IF(AA16=1,5,IF(AA16=2,4,IF(AA16=3,3,IF(AA16=4,2,IF(AA16=5,1,0))))))+L16</f>
        <v>0</v>
      </c>
      <c r="AD16" s="59" t="e">
        <f t="shared" ref="AD16:AD17" si="39">Y16/$E$20</f>
        <v>#DIV/0!</v>
      </c>
      <c r="AE16" s="59" t="e">
        <f t="shared" ref="AE16:AE17" si="40">IF(AD16&gt;0,((Y16/$E$20)-$E$29),0)</f>
        <v>#DIV/0!</v>
      </c>
      <c r="AF16" s="59" t="e">
        <f t="shared" ref="AF16:AF17" si="41">IF(AE16&gt;30,30,IF(AE16&lt;-30,-30,(AE16)))</f>
        <v>#DIV/0!</v>
      </c>
      <c r="AG16" s="60" t="e">
        <f t="shared" ref="AG16:AG17" si="42">AF16*$E$22</f>
        <v>#DIV/0!</v>
      </c>
      <c r="AH16" s="165">
        <f>MIN(MAX(IF(T16="Yes",G16+AG16,G16),'Handicaps-Roster'!L18),'Handicaps-Roster'!M18)</f>
        <v>280</v>
      </c>
      <c r="AI16" s="165" t="e">
        <f>MIN(MAX(IF(T16="No",I16+AG16,I16),'Handicaps-Roster'!N18),'Handicaps-Roster'!O18)</f>
        <v>#DIV/0!</v>
      </c>
      <c r="AJ16" s="174" t="e">
        <f>AC16+'Race #5'!AJ16</f>
        <v>#DIV/0!</v>
      </c>
      <c r="AK16" s="176" t="str">
        <f t="shared" ref="AK16:AK17" si="43">IF(O16=1,IF(T16="Yes",E16,F16),"")</f>
        <v/>
      </c>
      <c r="AL16" s="195" t="str">
        <f t="shared" ref="AL16:AL17" si="44">IFERROR((($AN$22/($E$24+AK16))*R16),"")</f>
        <v/>
      </c>
      <c r="AM16" s="156" t="e">
        <f t="shared" si="15"/>
        <v>#DIV/0!</v>
      </c>
      <c r="AN16" s="156" t="e">
        <f t="shared" ref="AN16:AN17" si="45">IF(AM16=1,5,IF(AM16=2,4,IF(AM16=3,3,IF(AM16=4,2,IF(AM16=5,1,0)))))+O16</f>
        <v>#DIV/0!</v>
      </c>
      <c r="AO16" s="156" t="e">
        <f>AN16+'Race #5'!AO16</f>
        <v>#DIV/0!</v>
      </c>
      <c r="AP16" s="158" t="str">
        <f t="shared" ref="AP16:AP17" si="46">B16</f>
        <v>Lone Gull</v>
      </c>
      <c r="AQ16" s="81"/>
    </row>
    <row r="17" spans="2:43" ht="30" customHeight="1" thickBot="1" x14ac:dyDescent="0.25">
      <c r="B17" s="396">
        <f>'2026 Applebee Finish Summary'!I18</f>
        <v>0</v>
      </c>
      <c r="C17" s="426">
        <f>'2026 Applebee Finish Summary'!J18</f>
        <v>0</v>
      </c>
      <c r="D17" s="426">
        <f>'2026 Applebee Finish Summary'!K18</f>
        <v>0</v>
      </c>
      <c r="E17" s="275">
        <f>'Handicaps-Roster'!G19</f>
        <v>0</v>
      </c>
      <c r="F17" s="275">
        <f>'Handicaps-Roster'!H19</f>
        <v>0</v>
      </c>
      <c r="G17" s="275">
        <f>'Race #5'!AH17</f>
        <v>0</v>
      </c>
      <c r="H17" s="276" t="e">
        <f t="shared" si="28"/>
        <v>#DIV/0!</v>
      </c>
      <c r="I17" s="275" t="e">
        <f>'Race #5'!AI17</f>
        <v>#DIV/0!</v>
      </c>
      <c r="J17" s="276" t="e">
        <f t="shared" si="29"/>
        <v>#DIV/0!</v>
      </c>
      <c r="K17" s="413" t="str">
        <f t="shared" si="17"/>
        <v>No</v>
      </c>
      <c r="L17" s="342">
        <f t="shared" si="30"/>
        <v>0</v>
      </c>
      <c r="M17" s="338"/>
      <c r="N17" s="338"/>
      <c r="O17" s="277">
        <f t="shared" si="18"/>
        <v>0</v>
      </c>
      <c r="P17" s="339" t="str">
        <f t="shared" si="3"/>
        <v/>
      </c>
      <c r="Q17" s="278">
        <f t="shared" si="31"/>
        <v>0</v>
      </c>
      <c r="R17" s="279">
        <f t="shared" si="32"/>
        <v>0</v>
      </c>
      <c r="S17" s="279">
        <f t="shared" si="33"/>
        <v>0</v>
      </c>
      <c r="T17" s="340" t="s">
        <v>140</v>
      </c>
      <c r="U17" s="395" t="str">
        <f t="shared" si="34"/>
        <v/>
      </c>
      <c r="V17" s="343">
        <f t="shared" si="5"/>
        <v>0</v>
      </c>
      <c r="W17" s="343">
        <f t="shared" si="27"/>
        <v>0</v>
      </c>
      <c r="X17" s="279">
        <f t="shared" si="35"/>
        <v>0</v>
      </c>
      <c r="Y17" s="277" t="e">
        <f t="shared" si="36"/>
        <v>#DIV/0!</v>
      </c>
      <c r="Z17" s="280" t="str">
        <f t="shared" si="7"/>
        <v/>
      </c>
      <c r="AA17" s="280" t="e">
        <f t="shared" si="8"/>
        <v>#DIV/0!</v>
      </c>
      <c r="AB17" s="171" t="str">
        <f t="shared" si="37"/>
        <v/>
      </c>
      <c r="AC17" s="177">
        <f t="shared" si="38"/>
        <v>0</v>
      </c>
      <c r="AD17" s="277" t="e">
        <f t="shared" si="39"/>
        <v>#DIV/0!</v>
      </c>
      <c r="AE17" s="277" t="e">
        <f t="shared" si="40"/>
        <v>#DIV/0!</v>
      </c>
      <c r="AF17" s="277" t="e">
        <f t="shared" si="41"/>
        <v>#DIV/0!</v>
      </c>
      <c r="AG17" s="281" t="e">
        <f t="shared" si="42"/>
        <v>#DIV/0!</v>
      </c>
      <c r="AH17" s="282">
        <f>MIN(MAX(IF(T17="Yes",G17+AG17,G17),'Handicaps-Roster'!L19),'Handicaps-Roster'!M19)</f>
        <v>0</v>
      </c>
      <c r="AI17" s="282" t="e">
        <f>MIN(MAX(IF(T17="No",I17+AG17,I17),'Handicaps-Roster'!N19),'Handicaps-Roster'!O19)</f>
        <v>#DIV/0!</v>
      </c>
      <c r="AJ17" s="178" t="e">
        <f>AC17+'Race #5'!AJ17</f>
        <v>#DIV/0!</v>
      </c>
      <c r="AK17" s="287" t="str">
        <f t="shared" si="43"/>
        <v/>
      </c>
      <c r="AL17" s="286" t="str">
        <f t="shared" si="44"/>
        <v/>
      </c>
      <c r="AM17" s="157" t="e">
        <f t="shared" si="15"/>
        <v>#DIV/0!</v>
      </c>
      <c r="AN17" s="157" t="e">
        <f t="shared" si="45"/>
        <v>#DIV/0!</v>
      </c>
      <c r="AO17" s="157" t="e">
        <f>AN17+'Race #5'!AO17</f>
        <v>#DIV/0!</v>
      </c>
      <c r="AP17" s="284">
        <f t="shared" si="46"/>
        <v>0</v>
      </c>
      <c r="AQ17" s="81"/>
    </row>
    <row r="18" spans="2:43" ht="30" customHeight="1" x14ac:dyDescent="0.2">
      <c r="AO18" s="81"/>
    </row>
    <row r="19" spans="2:43" ht="16" thickBot="1" x14ac:dyDescent="0.25">
      <c r="B19" s="4"/>
      <c r="E19" s="5"/>
      <c r="F19" s="11"/>
      <c r="G19" s="5"/>
      <c r="H19" s="11"/>
      <c r="I19" s="11"/>
      <c r="J19" s="11"/>
      <c r="K19" s="11"/>
      <c r="L19" s="11"/>
      <c r="M19" s="11"/>
      <c r="N19" s="13"/>
      <c r="O19" s="13"/>
      <c r="P19" s="11"/>
      <c r="Q19" s="11"/>
      <c r="R19" s="11"/>
      <c r="S19" s="8"/>
      <c r="T19" s="89" t="s">
        <v>146</v>
      </c>
      <c r="U19" s="11"/>
      <c r="V19" s="11"/>
      <c r="W19" s="13"/>
      <c r="X19" s="13"/>
      <c r="Y19" s="18"/>
      <c r="Z19" s="18"/>
      <c r="AA19" s="13"/>
      <c r="AB19" s="13"/>
      <c r="AC19" s="89" t="s">
        <v>186</v>
      </c>
      <c r="AD19" s="13"/>
      <c r="AE19" s="15"/>
      <c r="AF19" s="16"/>
      <c r="AG19" s="11"/>
      <c r="AH19" s="11"/>
      <c r="AI19" s="5"/>
    </row>
    <row r="20" spans="2:43" ht="18" customHeight="1" x14ac:dyDescent="0.35">
      <c r="D20" s="87" t="s">
        <v>141</v>
      </c>
      <c r="E20" s="86">
        <f>Z30</f>
        <v>0</v>
      </c>
      <c r="G20" s="481" t="s">
        <v>142</v>
      </c>
      <c r="H20" s="482"/>
      <c r="I20" s="511" t="s">
        <v>102</v>
      </c>
      <c r="J20" s="482"/>
      <c r="K20" s="516" t="s">
        <v>143</v>
      </c>
      <c r="L20" s="493"/>
      <c r="M20" s="516" t="s">
        <v>144</v>
      </c>
      <c r="N20" s="491"/>
      <c r="P20" s="512" t="s">
        <v>145</v>
      </c>
      <c r="Q20" s="513"/>
      <c r="U20" s="89" t="s">
        <v>147</v>
      </c>
      <c r="W20" s="89" t="s">
        <v>148</v>
      </c>
      <c r="Z20" s="233" t="s">
        <v>149</v>
      </c>
      <c r="AK20" s="521" t="s">
        <v>150</v>
      </c>
      <c r="AL20" s="500"/>
      <c r="AM20" s="500"/>
      <c r="AN20" s="501"/>
    </row>
    <row r="21" spans="2:43" ht="18" customHeight="1" x14ac:dyDescent="0.2">
      <c r="D21" s="87" t="s">
        <v>151</v>
      </c>
      <c r="E21" s="24" t="s">
        <v>139</v>
      </c>
      <c r="G21" s="477" t="str">
        <f>IF($E$27&gt;0,"First Place","")</f>
        <v/>
      </c>
      <c r="H21" s="478"/>
      <c r="I21" s="483" t="str">
        <f>IF($E$27&gt;0,VLOOKUP(1,$AB$4:$AP$17,15,FALSE),"")</f>
        <v/>
      </c>
      <c r="J21" s="484"/>
      <c r="K21" s="514" t="str">
        <f t="shared" ref="K21:K32" si="47">IFERROR(VLOOKUP(I21,$B$4:$Y$17,24,0)-_xlfn.MINIFS($Y$4:$Y$17,$Y$4:$Y$17,"&gt;0"),"")</f>
        <v/>
      </c>
      <c r="L21" s="515"/>
      <c r="M21" s="514" t="str">
        <f t="shared" ref="M21:M32" si="48">IFERROR(VLOOKUP(I21,$B$4:$X$17,23,0)-_xlfn.MINIFS($X$4:$X$17,$X$4:$X$17,"&gt;0"),"")</f>
        <v/>
      </c>
      <c r="N21" s="517"/>
      <c r="P21" s="115" t="s">
        <v>93</v>
      </c>
      <c r="Q21" s="115" t="s">
        <v>152</v>
      </c>
      <c r="U21" s="30"/>
      <c r="V21" s="30"/>
      <c r="AK21" s="147" t="s">
        <v>153</v>
      </c>
      <c r="AL21" s="148"/>
      <c r="AM21" s="148"/>
      <c r="AN21" s="154" t="e">
        <f>SUM(AK4:AK17)/E27</f>
        <v>#DIV/0!</v>
      </c>
    </row>
    <row r="22" spans="2:43" ht="18" customHeight="1" x14ac:dyDescent="0.2">
      <c r="D22" s="87" t="s">
        <v>154</v>
      </c>
      <c r="E22" s="250">
        <v>0.1</v>
      </c>
      <c r="G22" s="477" t="str">
        <f>IF(E27&gt;1,"Second Place","")</f>
        <v/>
      </c>
      <c r="H22" s="478"/>
      <c r="I22" s="483" t="str">
        <f>IF($E$27&gt;1,VLOOKUP(2,$AB$4:$AP$17,15,FALSE),"")</f>
        <v/>
      </c>
      <c r="J22" s="484"/>
      <c r="K22" s="514" t="str">
        <f t="shared" si="47"/>
        <v/>
      </c>
      <c r="L22" s="515"/>
      <c r="M22" s="514" t="str">
        <f t="shared" si="48"/>
        <v/>
      </c>
      <c r="N22" s="517"/>
      <c r="P22" s="116">
        <v>2</v>
      </c>
      <c r="Q22" s="117">
        <v>1</v>
      </c>
      <c r="U22" s="430" t="s">
        <v>193</v>
      </c>
      <c r="V22" s="430"/>
      <c r="W22" s="430"/>
      <c r="X22" s="107"/>
      <c r="Y22" s="107"/>
      <c r="Z22" s="429"/>
      <c r="AA22" s="148"/>
      <c r="AB22" s="148"/>
      <c r="AK22" s="147" t="s">
        <v>155</v>
      </c>
      <c r="AL22" s="148"/>
      <c r="AM22" s="148"/>
      <c r="AN22" s="154" t="e">
        <f>AN21+E24</f>
        <v>#DIV/0!</v>
      </c>
    </row>
    <row r="23" spans="2:43" ht="18" customHeight="1" thickBot="1" x14ac:dyDescent="0.25">
      <c r="D23" s="87" t="s">
        <v>156</v>
      </c>
      <c r="E23" s="94" t="s">
        <v>170</v>
      </c>
      <c r="G23" s="477" t="str">
        <f>IF(E27&gt;2,"Third Place","")</f>
        <v/>
      </c>
      <c r="H23" s="478"/>
      <c r="I23" s="483" t="str">
        <f>IF($E$27&gt;2,VLOOKUP(3,$AB$4:$AP$17,15,FALSE),"")</f>
        <v/>
      </c>
      <c r="J23" s="484"/>
      <c r="K23" s="514" t="str">
        <f t="shared" si="47"/>
        <v/>
      </c>
      <c r="L23" s="515"/>
      <c r="M23" s="514" t="str">
        <f t="shared" si="48"/>
        <v/>
      </c>
      <c r="N23" s="517"/>
      <c r="P23" s="118">
        <v>3</v>
      </c>
      <c r="Q23" s="108">
        <v>2</v>
      </c>
      <c r="U23" s="430"/>
      <c r="V23" s="430"/>
      <c r="W23" s="430"/>
      <c r="X23" s="107"/>
      <c r="Y23" s="107"/>
      <c r="Z23" s="429"/>
      <c r="AA23" s="148"/>
      <c r="AB23" s="148"/>
      <c r="AK23" s="149" t="s">
        <v>158</v>
      </c>
      <c r="AL23" s="150"/>
      <c r="AM23" s="150"/>
      <c r="AN23" s="152" t="e">
        <f>AN22/(AN21+E24)</f>
        <v>#DIV/0!</v>
      </c>
    </row>
    <row r="24" spans="2:43" ht="18" customHeight="1" x14ac:dyDescent="0.2">
      <c r="D24" s="87" t="s">
        <v>159</v>
      </c>
      <c r="E24" s="249">
        <f>VLOOKUP(E23,I36:K38,3,0)</f>
        <v>600</v>
      </c>
      <c r="G24" s="477" t="str">
        <f>IF(E27&gt;3,"Fourth Place","")</f>
        <v/>
      </c>
      <c r="H24" s="478"/>
      <c r="I24" s="483" t="str">
        <f>IF($E$27&gt;3,VLOOKUP(4,$AB$4:$AP$17,15,FALSE),"")</f>
        <v/>
      </c>
      <c r="J24" s="484"/>
      <c r="K24" s="514" t="str">
        <f t="shared" si="47"/>
        <v/>
      </c>
      <c r="L24" s="515"/>
      <c r="M24" s="514" t="str">
        <f t="shared" si="48"/>
        <v/>
      </c>
      <c r="N24" s="517"/>
      <c r="P24" s="118">
        <v>4</v>
      </c>
      <c r="Q24" s="108">
        <v>2</v>
      </c>
      <c r="U24" s="430"/>
      <c r="V24" s="430"/>
      <c r="W24" s="430"/>
      <c r="X24" s="107"/>
      <c r="Y24" s="107"/>
      <c r="Z24" s="429"/>
      <c r="AA24" s="148"/>
      <c r="AB24" s="148"/>
    </row>
    <row r="25" spans="2:43" ht="18" customHeight="1" x14ac:dyDescent="0.2">
      <c r="D25" s="95"/>
      <c r="E25" s="96"/>
      <c r="G25" s="477" t="str">
        <f>IF(E27&gt;4,"Fifth Place","")</f>
        <v/>
      </c>
      <c r="H25" s="478"/>
      <c r="I25" s="483" t="str">
        <f>IF($E$27&gt;4,VLOOKUP(5,$AB$4:$AP$17,15,FALSE),"")</f>
        <v/>
      </c>
      <c r="J25" s="484"/>
      <c r="K25" s="514" t="str">
        <f t="shared" si="47"/>
        <v/>
      </c>
      <c r="L25" s="515"/>
      <c r="M25" s="514" t="str">
        <f t="shared" si="48"/>
        <v/>
      </c>
      <c r="N25" s="517"/>
      <c r="P25" s="118">
        <v>5</v>
      </c>
      <c r="Q25" s="108">
        <v>2</v>
      </c>
      <c r="U25" s="430"/>
      <c r="V25" s="430"/>
      <c r="W25" s="430"/>
      <c r="X25" s="107"/>
      <c r="Y25" s="107"/>
      <c r="Z25" s="429"/>
      <c r="AA25" s="148"/>
      <c r="AB25" s="148"/>
    </row>
    <row r="26" spans="2:43" ht="18" customHeight="1" x14ac:dyDescent="0.2">
      <c r="D26" s="87" t="s">
        <v>160</v>
      </c>
      <c r="E26" s="23">
        <f>SUM(L4:L17)</f>
        <v>0</v>
      </c>
      <c r="G26" s="477" t="str">
        <f>IF($E$27&gt;5,"Sixth Place","")</f>
        <v/>
      </c>
      <c r="H26" s="478"/>
      <c r="I26" s="483" t="str">
        <f>IF($E$27&gt;5,VLOOKUP(6,$AB$4:$AP$17,15,FALSE),"")</f>
        <v/>
      </c>
      <c r="J26" s="484"/>
      <c r="K26" s="514" t="str">
        <f t="shared" si="47"/>
        <v/>
      </c>
      <c r="L26" s="515"/>
      <c r="M26" s="514" t="str">
        <f t="shared" si="48"/>
        <v/>
      </c>
      <c r="N26" s="517"/>
      <c r="P26" s="118">
        <v>6</v>
      </c>
      <c r="Q26" s="108">
        <v>3</v>
      </c>
      <c r="U26" s="430"/>
      <c r="V26" s="430"/>
      <c r="W26" s="430"/>
      <c r="X26" s="107"/>
      <c r="Y26" s="107"/>
      <c r="Z26" s="429"/>
      <c r="AA26" s="148"/>
      <c r="AB26" s="148"/>
    </row>
    <row r="27" spans="2:43" ht="18" customHeight="1" x14ac:dyDescent="0.2">
      <c r="D27" s="87" t="s">
        <v>161</v>
      </c>
      <c r="E27" s="23">
        <f>SUM(O4:O17)</f>
        <v>0</v>
      </c>
      <c r="G27" s="477" t="str">
        <f>IF($E$27&gt;6,"Seventh Place","")</f>
        <v/>
      </c>
      <c r="H27" s="478"/>
      <c r="I27" s="483" t="str">
        <f>IF($E$27&gt;6,VLOOKUP(7,$AB$4:$AP$17,15,FALSE),"")</f>
        <v/>
      </c>
      <c r="J27" s="484"/>
      <c r="K27" s="514" t="str">
        <f t="shared" si="47"/>
        <v/>
      </c>
      <c r="L27" s="515"/>
      <c r="M27" s="514" t="str">
        <f t="shared" si="48"/>
        <v/>
      </c>
      <c r="N27" s="517"/>
      <c r="P27" s="118">
        <v>7</v>
      </c>
      <c r="Q27" s="108">
        <v>3</v>
      </c>
      <c r="U27" s="430"/>
      <c r="V27" s="430"/>
      <c r="W27" s="430"/>
      <c r="X27" s="107"/>
      <c r="Y27" s="107"/>
      <c r="Z27" s="429"/>
      <c r="AA27" s="148"/>
      <c r="AB27" s="148"/>
    </row>
    <row r="28" spans="2:43" ht="18" customHeight="1" x14ac:dyDescent="0.2">
      <c r="D28" s="87" t="s">
        <v>162</v>
      </c>
      <c r="E28" s="25" t="e">
        <f>VLOOKUP(E27,P22:Q32,2,FALSE)</f>
        <v>#N/A</v>
      </c>
      <c r="G28" s="477" t="str">
        <f>IF(E27&gt;7,"Eighth Place","")</f>
        <v/>
      </c>
      <c r="H28" s="478"/>
      <c r="I28" s="483" t="str">
        <f>IF($E$27&gt;7,VLOOKUP(8,$AB$4:$AP$17,15,FALSE),"")</f>
        <v/>
      </c>
      <c r="J28" s="484"/>
      <c r="K28" s="514" t="str">
        <f t="shared" si="47"/>
        <v/>
      </c>
      <c r="L28" s="515"/>
      <c r="M28" s="514" t="str">
        <f t="shared" si="48"/>
        <v/>
      </c>
      <c r="N28" s="517"/>
      <c r="P28" s="118">
        <v>8</v>
      </c>
      <c r="Q28" s="108">
        <v>3</v>
      </c>
      <c r="U28" s="430"/>
      <c r="V28" s="430"/>
      <c r="W28" s="430"/>
      <c r="X28" s="107"/>
      <c r="Y28" s="107"/>
      <c r="Z28" s="429"/>
      <c r="AA28" s="148"/>
      <c r="AB28" s="148"/>
    </row>
    <row r="29" spans="2:43" ht="18" customHeight="1" x14ac:dyDescent="0.2">
      <c r="D29" s="87" t="s">
        <v>163</v>
      </c>
      <c r="E29" s="26" t="e">
        <f>VLOOKUP(E28,AA4:AD17,4,FALSE)</f>
        <v>#N/A</v>
      </c>
      <c r="G29" s="477" t="str">
        <f>IF(E27&gt;8,"Ninth Place","")</f>
        <v/>
      </c>
      <c r="H29" s="478"/>
      <c r="I29" s="483" t="str">
        <f>IF($E$27&gt;8,VLOOKUP(9,$AB$4:$AP$17,15,FALSE),"")</f>
        <v/>
      </c>
      <c r="J29" s="484"/>
      <c r="K29" s="514" t="str">
        <f t="shared" si="47"/>
        <v/>
      </c>
      <c r="L29" s="515"/>
      <c r="M29" s="514" t="str">
        <f t="shared" si="48"/>
        <v/>
      </c>
      <c r="N29" s="517"/>
      <c r="P29" s="118">
        <v>9</v>
      </c>
      <c r="Q29" s="108">
        <v>4</v>
      </c>
      <c r="U29" s="148"/>
      <c r="V29" s="430"/>
      <c r="W29" s="430"/>
      <c r="X29" s="107"/>
      <c r="Y29" s="107"/>
      <c r="Z29" s="429"/>
      <c r="AA29" s="148"/>
      <c r="AB29" s="148"/>
    </row>
    <row r="30" spans="2:43" ht="18" customHeight="1" x14ac:dyDescent="0.2">
      <c r="D30" s="87" t="s">
        <v>153</v>
      </c>
      <c r="E30" s="181" t="e">
        <f>SUM(U4:U17)/E27</f>
        <v>#DIV/0!</v>
      </c>
      <c r="G30" s="477" t="str">
        <f>IF(E27&gt;9,"Tenth Place","")</f>
        <v/>
      </c>
      <c r="H30" s="478"/>
      <c r="I30" s="483" t="str">
        <f>IF($E$27&gt;9,VLOOKUP(10,$AB$4:$AP$17,15,FALSE),"")</f>
        <v/>
      </c>
      <c r="J30" s="484"/>
      <c r="K30" s="514" t="str">
        <f t="shared" si="47"/>
        <v/>
      </c>
      <c r="L30" s="515"/>
      <c r="M30" s="514" t="str">
        <f t="shared" si="48"/>
        <v/>
      </c>
      <c r="N30" s="517"/>
      <c r="P30" s="118">
        <v>10</v>
      </c>
      <c r="Q30" s="108">
        <v>4</v>
      </c>
      <c r="U30" s="148"/>
      <c r="V30" s="148"/>
      <c r="W30" s="430"/>
      <c r="X30" s="107"/>
      <c r="Y30" s="88" t="s">
        <v>164</v>
      </c>
      <c r="Z30" s="429">
        <f>SUM(Z22:Z26)</f>
        <v>0</v>
      </c>
      <c r="AA30" s="148"/>
      <c r="AB30" s="148"/>
    </row>
    <row r="31" spans="2:43" ht="18" customHeight="1" x14ac:dyDescent="0.2">
      <c r="D31" s="87" t="s">
        <v>155</v>
      </c>
      <c r="E31" s="434" t="e">
        <f>E24+E30</f>
        <v>#DIV/0!</v>
      </c>
      <c r="G31" s="477" t="str">
        <f>IF(E27&gt;10,"Eleventh Place","")</f>
        <v/>
      </c>
      <c r="H31" s="478"/>
      <c r="I31" s="483" t="str">
        <f>IF($E$27&gt;10,VLOOKUP(11,$AB$4:$AP$17,15,FALSE),"")</f>
        <v/>
      </c>
      <c r="J31" s="484"/>
      <c r="K31" s="514" t="str">
        <f t="shared" si="47"/>
        <v/>
      </c>
      <c r="L31" s="515"/>
      <c r="M31" s="514" t="str">
        <f t="shared" si="48"/>
        <v/>
      </c>
      <c r="N31" s="517"/>
      <c r="P31" s="118">
        <v>11</v>
      </c>
      <c r="Q31" s="108">
        <v>4</v>
      </c>
      <c r="W31" s="30"/>
    </row>
    <row r="32" spans="2:43" ht="18" customHeight="1" thickBot="1" x14ac:dyDescent="0.25">
      <c r="D32" s="87" t="s">
        <v>158</v>
      </c>
      <c r="E32" s="418" t="e">
        <f>E31/(E24+E30)</f>
        <v>#DIV/0!</v>
      </c>
      <c r="G32" s="479" t="str">
        <f>IF(E27&gt;11,"Twelth Place","")</f>
        <v/>
      </c>
      <c r="H32" s="480"/>
      <c r="I32" s="494" t="str">
        <f>IF($E$27&gt;11,VLOOKUP(12,$AB$4:$AP$17,15,FALSE),"")</f>
        <v/>
      </c>
      <c r="J32" s="495"/>
      <c r="K32" s="523" t="str">
        <f t="shared" si="47"/>
        <v/>
      </c>
      <c r="L32" s="525"/>
      <c r="M32" s="523" t="str">
        <f t="shared" si="48"/>
        <v/>
      </c>
      <c r="N32" s="524"/>
      <c r="P32" s="119">
        <v>12</v>
      </c>
      <c r="Q32" s="111">
        <v>5</v>
      </c>
      <c r="W32" s="30"/>
    </row>
    <row r="33" spans="4:36" ht="18" customHeight="1" x14ac:dyDescent="0.2"/>
    <row r="34" spans="4:36" ht="18" customHeight="1" x14ac:dyDescent="0.2">
      <c r="D34" s="87" t="s">
        <v>352</v>
      </c>
      <c r="E34" s="416">
        <f>_xlfn.MINIFS(Q4:Q17,Q4:Q17,"&gt;0")*86400</f>
        <v>0</v>
      </c>
      <c r="I34" s="505" t="s">
        <v>165</v>
      </c>
      <c r="J34" s="506"/>
      <c r="K34" s="507"/>
    </row>
    <row r="35" spans="4:36" x14ac:dyDescent="0.2">
      <c r="I35" s="97" t="s">
        <v>166</v>
      </c>
      <c r="J35" s="93" t="s">
        <v>167</v>
      </c>
      <c r="K35" s="98" t="s">
        <v>168</v>
      </c>
    </row>
    <row r="36" spans="4:36" x14ac:dyDescent="0.2">
      <c r="D36" s="88" t="s">
        <v>169</v>
      </c>
      <c r="E36" s="47" t="str">
        <f>IF(E21="Yes","Distance","Time")</f>
        <v>Distance</v>
      </c>
      <c r="I36" s="106" t="s">
        <v>170</v>
      </c>
      <c r="J36" s="107" t="s">
        <v>171</v>
      </c>
      <c r="K36" s="108">
        <v>600</v>
      </c>
      <c r="T36" s="4"/>
    </row>
    <row r="37" spans="4:36" x14ac:dyDescent="0.2">
      <c r="D37" s="2" t="s">
        <v>172</v>
      </c>
      <c r="I37" s="106" t="s">
        <v>157</v>
      </c>
      <c r="J37" s="126" t="s">
        <v>173</v>
      </c>
      <c r="K37" s="108">
        <v>550</v>
      </c>
    </row>
    <row r="38" spans="4:36" x14ac:dyDescent="0.2">
      <c r="D38" s="2"/>
      <c r="I38" s="109" t="s">
        <v>174</v>
      </c>
      <c r="J38" s="110" t="s">
        <v>175</v>
      </c>
      <c r="K38" s="111">
        <v>480</v>
      </c>
    </row>
    <row r="39" spans="4:36" x14ac:dyDescent="0.2">
      <c r="D39" s="2"/>
    </row>
    <row r="41" spans="4:36" x14ac:dyDescent="0.2">
      <c r="AJ41" s="1"/>
    </row>
    <row r="42" spans="4:36" x14ac:dyDescent="0.2">
      <c r="D42" s="2"/>
    </row>
    <row r="43" spans="4:36" x14ac:dyDescent="0.2">
      <c r="D43" s="2"/>
    </row>
    <row r="44" spans="4:36" x14ac:dyDescent="0.2">
      <c r="D44" s="2"/>
    </row>
  </sheetData>
  <mergeCells count="57">
    <mergeCell ref="U2:AJ2"/>
    <mergeCell ref="AK20:AN20"/>
    <mergeCell ref="AK2:AO2"/>
    <mergeCell ref="I25:J25"/>
    <mergeCell ref="I34:K34"/>
    <mergeCell ref="M32:N32"/>
    <mergeCell ref="M27:N27"/>
    <mergeCell ref="M28:N28"/>
    <mergeCell ref="M29:N29"/>
    <mergeCell ref="M30:N30"/>
    <mergeCell ref="M31:N31"/>
    <mergeCell ref="K32:L32"/>
    <mergeCell ref="I31:J31"/>
    <mergeCell ref="K27:L27"/>
    <mergeCell ref="K28:L28"/>
    <mergeCell ref="K29:L29"/>
    <mergeCell ref="K30:L30"/>
    <mergeCell ref="K31:L31"/>
    <mergeCell ref="I32:J32"/>
    <mergeCell ref="I26:J26"/>
    <mergeCell ref="I27:J27"/>
    <mergeCell ref="I28:J28"/>
    <mergeCell ref="I29:J29"/>
    <mergeCell ref="I30:J30"/>
    <mergeCell ref="P20:Q20"/>
    <mergeCell ref="K23:L23"/>
    <mergeCell ref="K24:L24"/>
    <mergeCell ref="K25:L25"/>
    <mergeCell ref="K26:L26"/>
    <mergeCell ref="M20:N20"/>
    <mergeCell ref="M21:N21"/>
    <mergeCell ref="M22:N22"/>
    <mergeCell ref="M23:N23"/>
    <mergeCell ref="M24:N24"/>
    <mergeCell ref="M25:N25"/>
    <mergeCell ref="M26:N26"/>
    <mergeCell ref="K20:L20"/>
    <mergeCell ref="K21:L21"/>
    <mergeCell ref="K22:L22"/>
    <mergeCell ref="G20:H20"/>
    <mergeCell ref="I22:J22"/>
    <mergeCell ref="I23:J23"/>
    <mergeCell ref="I24:J24"/>
    <mergeCell ref="G21:H21"/>
    <mergeCell ref="G22:H22"/>
    <mergeCell ref="G23:H23"/>
    <mergeCell ref="G24:H24"/>
    <mergeCell ref="I20:J20"/>
    <mergeCell ref="I21:J21"/>
    <mergeCell ref="G30:H30"/>
    <mergeCell ref="G31:H31"/>
    <mergeCell ref="G32:H32"/>
    <mergeCell ref="G25:H25"/>
    <mergeCell ref="G26:H26"/>
    <mergeCell ref="G27:H27"/>
    <mergeCell ref="G28:H28"/>
    <mergeCell ref="G29:H29"/>
  </mergeCells>
  <conditionalFormatting sqref="P4:P17">
    <cfRule type="cellIs" dxfId="11" priority="3" operator="equal">
      <formula>1</formula>
    </cfRule>
  </conditionalFormatting>
  <conditionalFormatting sqref="T4:U12 T13 T14:U17">
    <cfRule type="cellIs" dxfId="10" priority="1" operator="equal">
      <formula>"Yes"</formula>
    </cfRule>
  </conditionalFormatting>
  <dataValidations count="2">
    <dataValidation type="list" allowBlank="1" showInputMessage="1" showErrorMessage="1" sqref="E21 E25 K4:K17 T4:T17" xr:uid="{0E735641-4C8F-324E-911B-3E9B431F0A1F}">
      <formula1>$AT$4:$AT$5</formula1>
    </dataValidation>
    <dataValidation type="list" allowBlank="1" showInputMessage="1" showErrorMessage="1" sqref="E23" xr:uid="{24A46A9F-087C-48E2-A171-BC7EACDF0506}">
      <formula1>$I$36:$I$38</formula1>
    </dataValidation>
  </dataValidations>
  <printOptions horizontalCentered="1"/>
  <pageMargins left="0.7" right="0.7" top="0.75" bottom="0.75" header="0.3" footer="0.3"/>
  <pageSetup paperSize="9" scale="52" fitToWidth="2" orientation="landscape" r:id="rId1"/>
  <ignoredErrors>
    <ignoredError sqref="I6 I4 I8:I14" 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DACD7-ED52-9B44-8912-4C75AC071D8B}">
  <sheetPr>
    <pageSetUpPr fitToPage="1"/>
  </sheetPr>
  <dimension ref="B1:AT44"/>
  <sheetViews>
    <sheetView zoomScale="120" zoomScaleNormal="120" workbookViewId="0">
      <selection activeCell="T25" sqref="T25"/>
    </sheetView>
  </sheetViews>
  <sheetFormatPr baseColWidth="10" defaultColWidth="8.83203125" defaultRowHeight="15" x14ac:dyDescent="0.2"/>
  <cols>
    <col min="1" max="1" width="2.83203125" customWidth="1"/>
    <col min="2" max="2" width="12.33203125" customWidth="1"/>
    <col min="3" max="3" width="16.5" customWidth="1"/>
    <col min="4" max="4" width="32" customWidth="1"/>
    <col min="5" max="14" width="10.83203125" customWidth="1"/>
    <col min="15" max="15" width="10.83203125" style="1" customWidth="1"/>
    <col min="16" max="22" width="10.83203125" customWidth="1"/>
    <col min="23" max="26" width="10.83203125" style="1" customWidth="1"/>
    <col min="27" max="41" width="10.83203125" customWidth="1"/>
    <col min="42" max="42" width="16.83203125" customWidth="1"/>
    <col min="43" max="43" width="3.6640625" customWidth="1"/>
    <col min="44" max="44" width="17.5" customWidth="1"/>
    <col min="46" max="46" width="0" hidden="1" customWidth="1"/>
  </cols>
  <sheetData>
    <row r="1" spans="2:46" ht="15" customHeight="1" thickBot="1" x14ac:dyDescent="0.25"/>
    <row r="2" spans="2:46" ht="15" customHeight="1" thickBot="1" x14ac:dyDescent="0.25">
      <c r="B2" s="28" t="s">
        <v>190</v>
      </c>
      <c r="C2" s="17"/>
      <c r="D2" s="17"/>
      <c r="E2" s="17"/>
      <c r="F2" s="17"/>
      <c r="G2" s="17"/>
      <c r="H2" s="17"/>
      <c r="I2" s="17"/>
      <c r="L2" s="17"/>
      <c r="M2" s="17"/>
      <c r="N2" s="17"/>
      <c r="O2" s="29"/>
      <c r="P2" s="17"/>
      <c r="Q2" s="17"/>
      <c r="R2" s="17"/>
      <c r="S2" s="124"/>
      <c r="T2" s="17"/>
      <c r="U2" s="518" t="s">
        <v>0</v>
      </c>
      <c r="V2" s="519"/>
      <c r="W2" s="519"/>
      <c r="X2" s="519"/>
      <c r="Y2" s="519"/>
      <c r="Z2" s="519"/>
      <c r="AA2" s="519"/>
      <c r="AB2" s="519"/>
      <c r="AC2" s="519"/>
      <c r="AD2" s="519"/>
      <c r="AE2" s="519"/>
      <c r="AF2" s="519"/>
      <c r="AG2" s="519"/>
      <c r="AH2" s="519"/>
      <c r="AI2" s="519"/>
      <c r="AJ2" s="520"/>
      <c r="AK2" s="522" t="s">
        <v>1</v>
      </c>
      <c r="AL2" s="503"/>
      <c r="AM2" s="503"/>
      <c r="AN2" s="503"/>
      <c r="AO2" s="504"/>
    </row>
    <row r="3" spans="2:46" s="22" customFormat="1" ht="96" x14ac:dyDescent="0.2">
      <c r="B3" s="315" t="s">
        <v>9</v>
      </c>
      <c r="C3" s="316" t="s">
        <v>10</v>
      </c>
      <c r="D3" s="316" t="s">
        <v>104</v>
      </c>
      <c r="E3" s="317" t="s">
        <v>105</v>
      </c>
      <c r="F3" s="317" t="s">
        <v>106</v>
      </c>
      <c r="G3" s="318" t="s">
        <v>107</v>
      </c>
      <c r="H3" s="319" t="s">
        <v>108</v>
      </c>
      <c r="I3" s="318" t="s">
        <v>109</v>
      </c>
      <c r="J3" s="319" t="s">
        <v>110</v>
      </c>
      <c r="K3" s="319" t="s">
        <v>111</v>
      </c>
      <c r="L3" s="319" t="s">
        <v>112</v>
      </c>
      <c r="M3" s="319" t="s">
        <v>113</v>
      </c>
      <c r="N3" s="319" t="s">
        <v>114</v>
      </c>
      <c r="O3" s="317" t="s">
        <v>115</v>
      </c>
      <c r="P3" s="320" t="s">
        <v>116</v>
      </c>
      <c r="Q3" s="319" t="s">
        <v>117</v>
      </c>
      <c r="R3" s="319" t="s">
        <v>118</v>
      </c>
      <c r="S3" s="319" t="s">
        <v>119</v>
      </c>
      <c r="T3" s="317" t="s">
        <v>120</v>
      </c>
      <c r="U3" s="317" t="s">
        <v>279</v>
      </c>
      <c r="V3" s="321" t="s">
        <v>121</v>
      </c>
      <c r="W3" s="322" t="s">
        <v>122</v>
      </c>
      <c r="X3" s="321" t="s">
        <v>123</v>
      </c>
      <c r="Y3" s="323" t="s">
        <v>124</v>
      </c>
      <c r="Z3" s="324" t="s">
        <v>125</v>
      </c>
      <c r="AA3" s="323" t="s">
        <v>126</v>
      </c>
      <c r="AB3" s="325" t="s">
        <v>127</v>
      </c>
      <c r="AC3" s="325" t="s">
        <v>128</v>
      </c>
      <c r="AD3" s="326" t="s">
        <v>129</v>
      </c>
      <c r="AE3" s="326" t="s">
        <v>130</v>
      </c>
      <c r="AF3" s="326" t="s">
        <v>131</v>
      </c>
      <c r="AG3" s="326" t="s">
        <v>132</v>
      </c>
      <c r="AH3" s="326" t="s">
        <v>133</v>
      </c>
      <c r="AI3" s="326" t="s">
        <v>134</v>
      </c>
      <c r="AJ3" s="325" t="s">
        <v>299</v>
      </c>
      <c r="AK3" s="323" t="s">
        <v>279</v>
      </c>
      <c r="AL3" s="323" t="s">
        <v>124</v>
      </c>
      <c r="AM3" s="323" t="s">
        <v>126</v>
      </c>
      <c r="AN3" s="323" t="s">
        <v>136</v>
      </c>
      <c r="AO3" s="323" t="s">
        <v>298</v>
      </c>
      <c r="AP3" s="327" t="str">
        <f>B3</f>
        <v>Yacht Name</v>
      </c>
      <c r="AQ3" s="79"/>
      <c r="AR3" s="79" t="s">
        <v>138</v>
      </c>
    </row>
    <row r="4" spans="2:46" ht="30" customHeight="1" x14ac:dyDescent="0.2">
      <c r="B4" s="347" t="str">
        <f>'2026 Applebee Finish Summary'!I5</f>
        <v>Estella</v>
      </c>
      <c r="C4" s="422" t="str">
        <f>'2026 Applebee Finish Summary'!J5</f>
        <v>Saffier 33</v>
      </c>
      <c r="D4" s="422" t="str">
        <f>'2026 Applebee Finish Summary'!K5</f>
        <v>Doug Kilgren</v>
      </c>
      <c r="E4" s="162">
        <f>'Handicaps-Roster'!G6</f>
        <v>90</v>
      </c>
      <c r="F4" s="162">
        <f>'Handicaps-Roster'!H6</f>
        <v>110</v>
      </c>
      <c r="G4" s="162">
        <f>'Race #6'!AH4</f>
        <v>90</v>
      </c>
      <c r="H4" s="61" t="e">
        <f t="shared" ref="H4:H15" si="0">$E$31/($E$24+G4)</f>
        <v>#DIV/0!</v>
      </c>
      <c r="I4" s="162" t="e">
        <f>'Race #6'!AI4</f>
        <v>#DIV/0!</v>
      </c>
      <c r="J4" s="61" t="e">
        <f t="shared" ref="J4:J15" si="1">$E$31/($E$24+I4)</f>
        <v>#DIV/0!</v>
      </c>
      <c r="K4" s="61" t="str">
        <f>IF(N4&gt;0,"Yes","No")</f>
        <v>No</v>
      </c>
      <c r="L4" s="328">
        <f t="shared" ref="L4:L14" si="2">IF(K4="Yes",1,0)</f>
        <v>0</v>
      </c>
      <c r="M4" s="329"/>
      <c r="N4" s="329"/>
      <c r="O4" s="59">
        <f>IF(N4&gt;0,1,0)</f>
        <v>0</v>
      </c>
      <c r="P4" s="330" t="str">
        <f t="shared" ref="P4:P17" si="3">IF($N4=0,"",RANK($N4,$N$4:$N$17,1)-COUNTIF($N$4:$N$17,0))</f>
        <v/>
      </c>
      <c r="Q4" s="163">
        <f>N4-M4</f>
        <v>0</v>
      </c>
      <c r="R4" s="164">
        <f>HOUR(Q4)*3600+MINUTE(Q4)*60+SECOND(Q4)</f>
        <v>0</v>
      </c>
      <c r="S4" s="164">
        <f t="shared" ref="S4:S15" si="4">IF(N4&gt;0,($I4*$E$20),0)</f>
        <v>0</v>
      </c>
      <c r="T4" s="331" t="s">
        <v>140</v>
      </c>
      <c r="U4" s="332" t="str">
        <f>IF(O4=1,IF(T4="No",I4,G4),"")</f>
        <v/>
      </c>
      <c r="V4" s="333">
        <f t="shared" ref="V4:V17" si="5">IF(T4="Yes",((I4-G4)*$E$20),0)</f>
        <v>0</v>
      </c>
      <c r="W4" s="333">
        <f t="shared" ref="W4:W7" si="6">IF(T4="Yes",(-(J4-H4)*R4),0)</f>
        <v>0</v>
      </c>
      <c r="X4" s="164">
        <f>R4-S4+V4</f>
        <v>0</v>
      </c>
      <c r="Y4" s="59" t="e">
        <f>IF(T4="Yes",R4*H4,R4*J4)</f>
        <v>#DIV/0!</v>
      </c>
      <c r="Z4" s="77" t="str">
        <f t="shared" ref="Z4:Z17" si="7">IF($X4=0,"",RANK($X4,$X$4:$X$17,1)-COUNTIF($X$4:$X$17,0))</f>
        <v/>
      </c>
      <c r="AA4" s="77" t="e">
        <f t="shared" ref="AA4:AA17" si="8">IF($Y4=0,"",RANK($Y4,$Y$4:$Y$17,1)-COUNTIF($Y$4:$Y$17,0))</f>
        <v>#DIV/0!</v>
      </c>
      <c r="AB4" s="169" t="e">
        <f t="shared" ref="AB4:AB15" si="9">IF($E$21="Yes",Z4,AA4)</f>
        <v>#DIV/0!</v>
      </c>
      <c r="AC4" s="173" t="e">
        <f t="shared" ref="AC4:AC15" si="10">IF($E$21="Yes",IF(Z4=1,5,IF(Z4=2,4,IF(Z4=3,3,IF(Z4=4,2,IF(Z4=5,1,0))))),IF(AA4=1,5,IF(AA4=2,4,IF(AA4=3,3,IF(AA4=4,2,IF(AA4=5,1,0))))))+L4</f>
        <v>#DIV/0!</v>
      </c>
      <c r="AD4" s="59" t="e">
        <f t="shared" ref="AD4:AD15" si="11">Y4/$E$20</f>
        <v>#DIV/0!</v>
      </c>
      <c r="AE4" s="59" t="e">
        <f t="shared" ref="AE4:AE15" si="12">IF(AD4&gt;0,((Y4/$E$20)-$E$29),0)</f>
        <v>#DIV/0!</v>
      </c>
      <c r="AF4" s="59" t="e">
        <f>IF(AE4&gt;30,30,IF(AE4&lt;-30,-30,(AE4)))</f>
        <v>#DIV/0!</v>
      </c>
      <c r="AG4" s="60" t="e">
        <f t="shared" ref="AG4:AG15" si="13">AF4*$E$22</f>
        <v>#DIV/0!</v>
      </c>
      <c r="AH4" s="165">
        <f>MIN(MAX(IF(T4="Yes",G4+AG4,G4),'Handicaps-Roster'!L6),'Handicaps-Roster'!M6)</f>
        <v>90</v>
      </c>
      <c r="AI4" s="165" t="e">
        <f>MIN(MAX(IF(T4="No",I4+AG4,I4),'Handicaps-Roster'!N6),'Handicaps-Roster'!O6)</f>
        <v>#DIV/0!</v>
      </c>
      <c r="AJ4" s="174" t="e">
        <f>AC4+'Race #6'!AJ4</f>
        <v>#DIV/0!</v>
      </c>
      <c r="AK4" s="176" t="str">
        <f>IF(O4=1,IF(T4="Yes",E4,F4),"")</f>
        <v/>
      </c>
      <c r="AL4" s="288" t="str">
        <f t="shared" ref="AL4:AL15" si="14">IFERROR((($AN$22/($E$24+AK4))*R4),"")</f>
        <v/>
      </c>
      <c r="AM4" s="156" t="e">
        <f t="shared" ref="AM4:AM17" si="15">IF($Y4=0,"",RANK($AL4,$AL$4:$AL$17,1)-COUNTIF($AL$4:$AL$17,0))</f>
        <v>#DIV/0!</v>
      </c>
      <c r="AN4" s="156" t="e">
        <f>IF(AM4=1,5,IF(AM4=2,4,IF(AM4=3,3,IF(AM4=4,2,IF(AM4=5,1,0)))))+O4</f>
        <v>#DIV/0!</v>
      </c>
      <c r="AO4" s="156" t="e">
        <f>AN4+'Race #6'!AO4</f>
        <v>#DIV/0!</v>
      </c>
      <c r="AP4" s="158" t="str">
        <f t="shared" ref="AP4:AP13" si="16">B4</f>
        <v>Estella</v>
      </c>
      <c r="AQ4" s="81"/>
      <c r="AT4" s="1" t="s">
        <v>139</v>
      </c>
    </row>
    <row r="5" spans="2:46" ht="30" customHeight="1" x14ac:dyDescent="0.2">
      <c r="B5" s="65" t="str">
        <f>'2026 Applebee Finish Summary'!I6</f>
        <v>Exit Strategy</v>
      </c>
      <c r="C5" s="423" t="str">
        <f>'2026 Applebee Finish Summary'!J6</f>
        <v>J Boats J-105</v>
      </c>
      <c r="D5" s="423" t="str">
        <f>'2026 Applebee Finish Summary'!K6</f>
        <v>John Stamos/John Woods</v>
      </c>
      <c r="E5" s="46">
        <f>'Handicaps-Roster'!G7</f>
        <v>87</v>
      </c>
      <c r="F5" s="46">
        <f>'Handicaps-Roster'!H7</f>
        <v>110</v>
      </c>
      <c r="G5" s="46">
        <f>'Race #6'!AH5</f>
        <v>78</v>
      </c>
      <c r="H5" s="58" t="e">
        <f t="shared" si="0"/>
        <v>#DIV/0!</v>
      </c>
      <c r="I5" s="46" t="e">
        <f>'Race #6'!AI5</f>
        <v>#DIV/0!</v>
      </c>
      <c r="J5" s="58" t="e">
        <f t="shared" si="1"/>
        <v>#DIV/0!</v>
      </c>
      <c r="K5" s="58" t="str">
        <f t="shared" ref="K5:K17" si="17">IF(N5&gt;0,"Yes","No")</f>
        <v>No</v>
      </c>
      <c r="L5" s="334">
        <f t="shared" si="2"/>
        <v>0</v>
      </c>
      <c r="M5" s="329"/>
      <c r="N5" s="329"/>
      <c r="O5" s="34">
        <f t="shared" ref="O5:O17" si="18">IF(N5&gt;0,1,0)</f>
        <v>0</v>
      </c>
      <c r="P5" s="330" t="str">
        <f t="shared" si="3"/>
        <v/>
      </c>
      <c r="Q5" s="160">
        <f>N5-M5</f>
        <v>0</v>
      </c>
      <c r="R5" s="161">
        <f>HOUR(Q5)*3600+MINUTE(Q5)*60+SECOND(Q5)</f>
        <v>0</v>
      </c>
      <c r="S5" s="161">
        <f t="shared" si="4"/>
        <v>0</v>
      </c>
      <c r="T5" s="331" t="s">
        <v>140</v>
      </c>
      <c r="U5" s="335" t="str">
        <f t="shared" ref="U5:U14" si="19">IF(O5=1,IF(T5="No",I5,G5),"")</f>
        <v/>
      </c>
      <c r="V5" s="336">
        <f t="shared" si="5"/>
        <v>0</v>
      </c>
      <c r="W5" s="336">
        <f t="shared" si="6"/>
        <v>0</v>
      </c>
      <c r="X5" s="161">
        <f t="shared" ref="X5:X14" si="20">R5-S5+V5</f>
        <v>0</v>
      </c>
      <c r="Y5" s="34" t="e">
        <f t="shared" ref="Y5:Y13" si="21">IF(T5="Yes",R5*H5,R5*J5)</f>
        <v>#DIV/0!</v>
      </c>
      <c r="Z5" s="62" t="str">
        <f t="shared" si="7"/>
        <v/>
      </c>
      <c r="AA5" s="62" t="e">
        <f t="shared" si="8"/>
        <v>#DIV/0!</v>
      </c>
      <c r="AB5" s="169" t="e">
        <f t="shared" si="9"/>
        <v>#DIV/0!</v>
      </c>
      <c r="AC5" s="173" t="e">
        <f t="shared" si="10"/>
        <v>#DIV/0!</v>
      </c>
      <c r="AD5" s="34" t="e">
        <f t="shared" si="11"/>
        <v>#DIV/0!</v>
      </c>
      <c r="AE5" s="34" t="e">
        <f t="shared" si="12"/>
        <v>#DIV/0!</v>
      </c>
      <c r="AF5" s="34" t="e">
        <f>IF(AE5&gt;30,30,IF(AE5&lt;-30,-30,(AE5)))</f>
        <v>#DIV/0!</v>
      </c>
      <c r="AG5" s="78" t="e">
        <f t="shared" si="13"/>
        <v>#DIV/0!</v>
      </c>
      <c r="AH5" s="166">
        <f>MIN(MAX(IF(T5="Yes",G5+AG5,G5),'Handicaps-Roster'!L7),'Handicaps-Roster'!M7)</f>
        <v>78</v>
      </c>
      <c r="AI5" s="166" t="e">
        <f>MIN(MAX(IF(T5="No",I5+AG5,I5),'Handicaps-Roster'!N7),'Handicaps-Roster'!O7)</f>
        <v>#DIV/0!</v>
      </c>
      <c r="AJ5" s="174" t="e">
        <f>AC5+'Race #6'!AJ5</f>
        <v>#DIV/0!</v>
      </c>
      <c r="AK5" s="175" t="str">
        <f t="shared" ref="AK5:AK14" si="22">IF(O5=1,IF(T5="Yes",E5,F5),"")</f>
        <v/>
      </c>
      <c r="AL5" s="155" t="str">
        <f t="shared" si="14"/>
        <v/>
      </c>
      <c r="AM5" s="156" t="e">
        <f t="shared" si="15"/>
        <v>#DIV/0!</v>
      </c>
      <c r="AN5" s="156" t="e">
        <f t="shared" ref="AN5:AN14" si="23">IF(AM5=1,5,IF(AM5=2,4,IF(AM5=3,3,IF(AM5=4,2,IF(AM5=5,1,0)))))+O5</f>
        <v>#DIV/0!</v>
      </c>
      <c r="AO5" s="156" t="e">
        <f>AN5+'Race #6'!AO5</f>
        <v>#DIV/0!</v>
      </c>
      <c r="AP5" s="120" t="str">
        <f t="shared" si="16"/>
        <v>Exit Strategy</v>
      </c>
      <c r="AQ5" s="81"/>
      <c r="AT5" s="1" t="s">
        <v>140</v>
      </c>
    </row>
    <row r="6" spans="2:46" ht="30" customHeight="1" x14ac:dyDescent="0.2">
      <c r="B6" s="65" t="str">
        <f>'2026 Applebee Finish Summary'!I7</f>
        <v>Magoo</v>
      </c>
      <c r="C6" s="423" t="str">
        <f>'2026 Applebee Finish Summary'!J7</f>
        <v>Catalina 28 MK II</v>
      </c>
      <c r="D6" s="423" t="str">
        <f>'2026 Applebee Finish Summary'!K7</f>
        <v>Steve Luebkeman</v>
      </c>
      <c r="E6" s="46">
        <f>'Handicaps-Roster'!G8</f>
        <v>205</v>
      </c>
      <c r="F6" s="46">
        <f>'Handicaps-Roster'!H8</f>
        <v>208</v>
      </c>
      <c r="G6" s="46">
        <f>'Race #6'!AH6</f>
        <v>195</v>
      </c>
      <c r="H6" s="58" t="e">
        <f t="shared" si="0"/>
        <v>#DIV/0!</v>
      </c>
      <c r="I6" s="46" t="e">
        <f>'Race #6'!AI6</f>
        <v>#DIV/0!</v>
      </c>
      <c r="J6" s="58" t="e">
        <f t="shared" si="1"/>
        <v>#DIV/0!</v>
      </c>
      <c r="K6" s="58" t="str">
        <f t="shared" si="17"/>
        <v>No</v>
      </c>
      <c r="L6" s="334">
        <f t="shared" si="2"/>
        <v>0</v>
      </c>
      <c r="M6" s="329"/>
      <c r="N6" s="329"/>
      <c r="O6" s="34">
        <f t="shared" si="18"/>
        <v>0</v>
      </c>
      <c r="P6" s="337" t="str">
        <f t="shared" si="3"/>
        <v/>
      </c>
      <c r="Q6" s="160">
        <f t="shared" ref="Q6:Q14" si="24">N6-M6</f>
        <v>0</v>
      </c>
      <c r="R6" s="161">
        <f t="shared" ref="R6:R14" si="25">HOUR(Q6)*3600+MINUTE(Q6)*60+SECOND(Q6)</f>
        <v>0</v>
      </c>
      <c r="S6" s="161">
        <f t="shared" si="4"/>
        <v>0</v>
      </c>
      <c r="T6" s="331" t="s">
        <v>140</v>
      </c>
      <c r="U6" s="335" t="str">
        <f t="shared" si="19"/>
        <v/>
      </c>
      <c r="V6" s="336">
        <f t="shared" si="5"/>
        <v>0</v>
      </c>
      <c r="W6" s="336">
        <f t="shared" si="6"/>
        <v>0</v>
      </c>
      <c r="X6" s="161">
        <f t="shared" si="20"/>
        <v>0</v>
      </c>
      <c r="Y6" s="34" t="e">
        <f t="shared" si="21"/>
        <v>#DIV/0!</v>
      </c>
      <c r="Z6" s="62" t="str">
        <f t="shared" si="7"/>
        <v/>
      </c>
      <c r="AA6" s="62" t="e">
        <f t="shared" si="8"/>
        <v>#DIV/0!</v>
      </c>
      <c r="AB6" s="169" t="e">
        <f t="shared" si="9"/>
        <v>#DIV/0!</v>
      </c>
      <c r="AC6" s="173" t="e">
        <f t="shared" si="10"/>
        <v>#DIV/0!</v>
      </c>
      <c r="AD6" s="34" t="e">
        <f t="shared" si="11"/>
        <v>#DIV/0!</v>
      </c>
      <c r="AE6" s="34" t="e">
        <f t="shared" si="12"/>
        <v>#DIV/0!</v>
      </c>
      <c r="AF6" s="34" t="e">
        <f t="shared" ref="AF6:AF14" si="26">IF(AE6&gt;30,30,IF(AE6&lt;-30,-30,(AE6)))</f>
        <v>#DIV/0!</v>
      </c>
      <c r="AG6" s="78" t="e">
        <f t="shared" si="13"/>
        <v>#DIV/0!</v>
      </c>
      <c r="AH6" s="166">
        <f>MIN(MAX(IF(T6="Yes",G6+AG6,G6),'Handicaps-Roster'!L8),'Handicaps-Roster'!M8)</f>
        <v>195</v>
      </c>
      <c r="AI6" s="166" t="e">
        <f>MIN(MAX(IF(T6="No",I6+AG6,I6),'Handicaps-Roster'!N8),'Handicaps-Roster'!O8)</f>
        <v>#DIV/0!</v>
      </c>
      <c r="AJ6" s="174" t="e">
        <f>AC6+'Race #6'!AJ6</f>
        <v>#DIV/0!</v>
      </c>
      <c r="AK6" s="175" t="str">
        <f t="shared" si="22"/>
        <v/>
      </c>
      <c r="AL6" s="194" t="str">
        <f t="shared" si="14"/>
        <v/>
      </c>
      <c r="AM6" s="156" t="e">
        <f t="shared" si="15"/>
        <v>#DIV/0!</v>
      </c>
      <c r="AN6" s="156" t="e">
        <f t="shared" si="23"/>
        <v>#DIV/0!</v>
      </c>
      <c r="AO6" s="156" t="e">
        <f>AN6+'Race #6'!AO6</f>
        <v>#DIV/0!</v>
      </c>
      <c r="AP6" s="120" t="str">
        <f t="shared" si="16"/>
        <v>Magoo</v>
      </c>
      <c r="AQ6" s="81"/>
    </row>
    <row r="7" spans="2:46" ht="30" customHeight="1" x14ac:dyDescent="0.2">
      <c r="B7" s="347" t="str">
        <f>'2026 Applebee Finish Summary'!I8</f>
        <v>Feng Shui</v>
      </c>
      <c r="C7" s="422" t="str">
        <f>'2026 Applebee Finish Summary'!J8</f>
        <v>C&amp;C 34</v>
      </c>
      <c r="D7" s="422" t="str">
        <f>'2026 Applebee Finish Summary'!K8</f>
        <v>Mike Finazzo</v>
      </c>
      <c r="E7" s="162">
        <f>'Handicaps-Roster'!G9</f>
        <v>157</v>
      </c>
      <c r="F7" s="162">
        <f>'Handicaps-Roster'!H9</f>
        <v>169</v>
      </c>
      <c r="G7" s="162">
        <f>'Race #6'!AH7</f>
        <v>175.1</v>
      </c>
      <c r="H7" s="61" t="e">
        <f t="shared" si="0"/>
        <v>#DIV/0!</v>
      </c>
      <c r="I7" s="162" t="e">
        <f>'Race #6'!AI7</f>
        <v>#DIV/0!</v>
      </c>
      <c r="J7" s="61" t="e">
        <f t="shared" si="1"/>
        <v>#DIV/0!</v>
      </c>
      <c r="K7" s="61" t="str">
        <f t="shared" si="17"/>
        <v>No</v>
      </c>
      <c r="L7" s="328">
        <f t="shared" si="2"/>
        <v>0</v>
      </c>
      <c r="M7" s="329"/>
      <c r="N7" s="329"/>
      <c r="O7" s="59">
        <f t="shared" si="18"/>
        <v>0</v>
      </c>
      <c r="P7" s="337" t="str">
        <f t="shared" si="3"/>
        <v/>
      </c>
      <c r="Q7" s="163">
        <f>N7-M7</f>
        <v>0</v>
      </c>
      <c r="R7" s="164">
        <f>HOUR(Q7)*3600+MINUTE(Q7)*60+SECOND(Q7)</f>
        <v>0</v>
      </c>
      <c r="S7" s="164">
        <f t="shared" si="4"/>
        <v>0</v>
      </c>
      <c r="T7" s="331" t="s">
        <v>140</v>
      </c>
      <c r="U7" s="332" t="str">
        <f t="shared" si="19"/>
        <v/>
      </c>
      <c r="V7" s="333">
        <f t="shared" si="5"/>
        <v>0</v>
      </c>
      <c r="W7" s="333">
        <f t="shared" si="6"/>
        <v>0</v>
      </c>
      <c r="X7" s="164">
        <f t="shared" si="20"/>
        <v>0</v>
      </c>
      <c r="Y7" s="59" t="e">
        <f t="shared" si="21"/>
        <v>#DIV/0!</v>
      </c>
      <c r="Z7" s="77" t="str">
        <f t="shared" si="7"/>
        <v/>
      </c>
      <c r="AA7" s="77" t="e">
        <f t="shared" si="8"/>
        <v>#DIV/0!</v>
      </c>
      <c r="AB7" s="169" t="e">
        <f t="shared" si="9"/>
        <v>#DIV/0!</v>
      </c>
      <c r="AC7" s="173" t="e">
        <f t="shared" si="10"/>
        <v>#DIV/0!</v>
      </c>
      <c r="AD7" s="59" t="e">
        <f t="shared" si="11"/>
        <v>#DIV/0!</v>
      </c>
      <c r="AE7" s="59" t="e">
        <f t="shared" si="12"/>
        <v>#DIV/0!</v>
      </c>
      <c r="AF7" s="59" t="e">
        <f>IF(AE7&gt;30,30,IF(AE7&lt;-30,-30,(AE7)))</f>
        <v>#DIV/0!</v>
      </c>
      <c r="AG7" s="60" t="e">
        <f t="shared" si="13"/>
        <v>#DIV/0!</v>
      </c>
      <c r="AH7" s="165">
        <f>MIN(MAX(IF(T7="Yes",G7+AG7,G7),'Handicaps-Roster'!L9),'Handicaps-Roster'!M9)</f>
        <v>175.1</v>
      </c>
      <c r="AI7" s="165" t="e">
        <f>MIN(MAX(IF(T7="No",I7+AG7,I7),'Handicaps-Roster'!N9),'Handicaps-Roster'!O9)</f>
        <v>#DIV/0!</v>
      </c>
      <c r="AJ7" s="174" t="e">
        <f>AC7+'Race #6'!AJ7</f>
        <v>#DIV/0!</v>
      </c>
      <c r="AK7" s="176" t="str">
        <f t="shared" si="22"/>
        <v/>
      </c>
      <c r="AL7" s="195" t="str">
        <f t="shared" si="14"/>
        <v/>
      </c>
      <c r="AM7" s="156" t="e">
        <f t="shared" si="15"/>
        <v>#DIV/0!</v>
      </c>
      <c r="AN7" s="156" t="e">
        <f t="shared" si="23"/>
        <v>#DIV/0!</v>
      </c>
      <c r="AO7" s="156" t="e">
        <f>AN7+'Race #6'!AO7</f>
        <v>#DIV/0!</v>
      </c>
      <c r="AP7" s="158" t="str">
        <f t="shared" si="16"/>
        <v>Feng Shui</v>
      </c>
      <c r="AQ7" s="81"/>
    </row>
    <row r="8" spans="2:46" ht="30" customHeight="1" x14ac:dyDescent="0.2">
      <c r="B8" s="65" t="str">
        <f>'2026 Applebee Finish Summary'!I9</f>
        <v>Grin</v>
      </c>
      <c r="C8" s="423" t="str">
        <f>'2026 Applebee Finish Summary'!J9</f>
        <v>Ericson 32-200</v>
      </c>
      <c r="D8" s="423" t="str">
        <f>'2026 Applebee Finish Summary'!K9</f>
        <v>John Woomer</v>
      </c>
      <c r="E8" s="46">
        <f>'Handicaps-Roster'!G10</f>
        <v>165</v>
      </c>
      <c r="F8" s="46">
        <f>'Handicaps-Roster'!H10</f>
        <v>177</v>
      </c>
      <c r="G8" s="46">
        <f>'Race #6'!AH8</f>
        <v>198</v>
      </c>
      <c r="H8" s="58" t="e">
        <f t="shared" si="0"/>
        <v>#DIV/0!</v>
      </c>
      <c r="I8" s="46" t="e">
        <f>'Race #6'!AI8</f>
        <v>#DIV/0!</v>
      </c>
      <c r="J8" s="58" t="e">
        <f t="shared" si="1"/>
        <v>#DIV/0!</v>
      </c>
      <c r="K8" s="58" t="str">
        <f t="shared" si="17"/>
        <v>No</v>
      </c>
      <c r="L8" s="334">
        <f t="shared" si="2"/>
        <v>0</v>
      </c>
      <c r="M8" s="329"/>
      <c r="N8" s="329"/>
      <c r="O8" s="34">
        <f t="shared" si="18"/>
        <v>0</v>
      </c>
      <c r="P8" s="337" t="str">
        <f t="shared" si="3"/>
        <v/>
      </c>
      <c r="Q8" s="160">
        <f t="shared" si="24"/>
        <v>0</v>
      </c>
      <c r="R8" s="161">
        <f t="shared" si="25"/>
        <v>0</v>
      </c>
      <c r="S8" s="161">
        <f t="shared" si="4"/>
        <v>0</v>
      </c>
      <c r="T8" s="331" t="s">
        <v>140</v>
      </c>
      <c r="U8" s="335" t="str">
        <f t="shared" si="19"/>
        <v/>
      </c>
      <c r="V8" s="333">
        <f t="shared" si="5"/>
        <v>0</v>
      </c>
      <c r="W8" s="336">
        <f>IF(T8="Yes",(-(J8-H8)*R8),0)</f>
        <v>0</v>
      </c>
      <c r="X8" s="161">
        <f>R8-S8+V8</f>
        <v>0</v>
      </c>
      <c r="Y8" s="34" t="e">
        <f>IF(T8="Yes",R8*H8,R8*J8)</f>
        <v>#DIV/0!</v>
      </c>
      <c r="Z8" s="62" t="str">
        <f t="shared" si="7"/>
        <v/>
      </c>
      <c r="AA8" s="62" t="e">
        <f t="shared" si="8"/>
        <v>#DIV/0!</v>
      </c>
      <c r="AB8" s="169" t="e">
        <f t="shared" si="9"/>
        <v>#DIV/0!</v>
      </c>
      <c r="AC8" s="173" t="e">
        <f t="shared" si="10"/>
        <v>#DIV/0!</v>
      </c>
      <c r="AD8" s="34" t="e">
        <f t="shared" si="11"/>
        <v>#DIV/0!</v>
      </c>
      <c r="AE8" s="34" t="e">
        <f t="shared" si="12"/>
        <v>#DIV/0!</v>
      </c>
      <c r="AF8" s="34" t="e">
        <f t="shared" si="26"/>
        <v>#DIV/0!</v>
      </c>
      <c r="AG8" s="78" t="e">
        <f t="shared" si="13"/>
        <v>#DIV/0!</v>
      </c>
      <c r="AH8" s="166">
        <f>MIN(MAX(IF(T8="Yes",G8+AG8,G8),'Handicaps-Roster'!L10),'Handicaps-Roster'!M10)</f>
        <v>198</v>
      </c>
      <c r="AI8" s="166" t="e">
        <f>MIN(MAX(IF(T8="No",I8+AG8,I8),'Handicaps-Roster'!N10),'Handicaps-Roster'!O10)</f>
        <v>#DIV/0!</v>
      </c>
      <c r="AJ8" s="174" t="e">
        <f>AC8+'Race #6'!AJ8</f>
        <v>#DIV/0!</v>
      </c>
      <c r="AK8" s="175" t="str">
        <f t="shared" si="22"/>
        <v/>
      </c>
      <c r="AL8" s="194" t="str">
        <f t="shared" si="14"/>
        <v/>
      </c>
      <c r="AM8" s="156" t="e">
        <f t="shared" si="15"/>
        <v>#DIV/0!</v>
      </c>
      <c r="AN8" s="156" t="e">
        <f t="shared" si="23"/>
        <v>#DIV/0!</v>
      </c>
      <c r="AO8" s="156" t="e">
        <f>AN8+'Race #6'!AO8</f>
        <v>#DIV/0!</v>
      </c>
      <c r="AP8" s="120" t="str">
        <f t="shared" si="16"/>
        <v>Grin</v>
      </c>
      <c r="AQ8" s="81"/>
    </row>
    <row r="9" spans="2:46" ht="30" customHeight="1" x14ac:dyDescent="0.2">
      <c r="B9" s="347" t="str">
        <f>'2026 Applebee Finish Summary'!I10</f>
        <v>Kristin B II</v>
      </c>
      <c r="C9" s="422" t="str">
        <f>'2026 Applebee Finish Summary'!J10</f>
        <v>Catalina 36 TM</v>
      </c>
      <c r="D9" s="422" t="str">
        <f>'2026 Applebee Finish Summary'!K10</f>
        <v>Mike Cann</v>
      </c>
      <c r="E9" s="162">
        <f>'Handicaps-Roster'!G11</f>
        <v>154</v>
      </c>
      <c r="F9" s="162">
        <f>'Handicaps-Roster'!H11</f>
        <v>163</v>
      </c>
      <c r="G9" s="162">
        <f>'Race #6'!AH9</f>
        <v>179.3</v>
      </c>
      <c r="H9" s="61" t="e">
        <f t="shared" si="0"/>
        <v>#DIV/0!</v>
      </c>
      <c r="I9" s="162" t="e">
        <f>'Race #6'!AI9</f>
        <v>#DIV/0!</v>
      </c>
      <c r="J9" s="61" t="e">
        <f t="shared" si="1"/>
        <v>#DIV/0!</v>
      </c>
      <c r="K9" s="61" t="str">
        <f t="shared" si="17"/>
        <v>No</v>
      </c>
      <c r="L9" s="328">
        <f t="shared" si="2"/>
        <v>0</v>
      </c>
      <c r="M9" s="329"/>
      <c r="N9" s="329"/>
      <c r="O9" s="59">
        <f t="shared" si="18"/>
        <v>0</v>
      </c>
      <c r="P9" s="337" t="str">
        <f t="shared" si="3"/>
        <v/>
      </c>
      <c r="Q9" s="163">
        <f t="shared" si="24"/>
        <v>0</v>
      </c>
      <c r="R9" s="164">
        <f t="shared" si="25"/>
        <v>0</v>
      </c>
      <c r="S9" s="164">
        <f t="shared" si="4"/>
        <v>0</v>
      </c>
      <c r="T9" s="331" t="s">
        <v>140</v>
      </c>
      <c r="U9" s="332" t="str">
        <f t="shared" si="19"/>
        <v/>
      </c>
      <c r="V9" s="333">
        <f t="shared" si="5"/>
        <v>0</v>
      </c>
      <c r="W9" s="333">
        <f t="shared" ref="W9:W17" si="27">IF(T9="Yes",(-(J9-H9)*R9),0)</f>
        <v>0</v>
      </c>
      <c r="X9" s="164">
        <f>R9-S9+V9</f>
        <v>0</v>
      </c>
      <c r="Y9" s="59" t="e">
        <f t="shared" si="21"/>
        <v>#DIV/0!</v>
      </c>
      <c r="Z9" s="77" t="str">
        <f t="shared" si="7"/>
        <v/>
      </c>
      <c r="AA9" s="77" t="e">
        <f t="shared" si="8"/>
        <v>#DIV/0!</v>
      </c>
      <c r="AB9" s="169" t="e">
        <f t="shared" si="9"/>
        <v>#DIV/0!</v>
      </c>
      <c r="AC9" s="173" t="e">
        <f t="shared" si="10"/>
        <v>#DIV/0!</v>
      </c>
      <c r="AD9" s="59" t="e">
        <f t="shared" si="11"/>
        <v>#DIV/0!</v>
      </c>
      <c r="AE9" s="59" t="e">
        <f t="shared" si="12"/>
        <v>#DIV/0!</v>
      </c>
      <c r="AF9" s="59" t="e">
        <f t="shared" si="26"/>
        <v>#DIV/0!</v>
      </c>
      <c r="AG9" s="60" t="e">
        <f t="shared" si="13"/>
        <v>#DIV/0!</v>
      </c>
      <c r="AH9" s="165">
        <f>MIN(MAX(IF(T9="Yes",G9+AG9,G9),'Handicaps-Roster'!L11),'Handicaps-Roster'!M11)</f>
        <v>179.3</v>
      </c>
      <c r="AI9" s="165" t="e">
        <f>MIN(MAX(IF(T9="No",I9+AG9,I9),'Handicaps-Roster'!N11),'Handicaps-Roster'!O11)</f>
        <v>#DIV/0!</v>
      </c>
      <c r="AJ9" s="174" t="e">
        <f>AC9+'Race #6'!AJ9</f>
        <v>#DIV/0!</v>
      </c>
      <c r="AK9" s="176" t="str">
        <f t="shared" si="22"/>
        <v/>
      </c>
      <c r="AL9" s="195" t="str">
        <f t="shared" si="14"/>
        <v/>
      </c>
      <c r="AM9" s="156" t="e">
        <f t="shared" si="15"/>
        <v>#DIV/0!</v>
      </c>
      <c r="AN9" s="156" t="e">
        <f t="shared" si="23"/>
        <v>#DIV/0!</v>
      </c>
      <c r="AO9" s="156" t="e">
        <f>AN9+'Race #6'!AO9</f>
        <v>#DIV/0!</v>
      </c>
      <c r="AP9" s="158" t="str">
        <f t="shared" si="16"/>
        <v>Kristin B II</v>
      </c>
      <c r="AQ9" s="81"/>
    </row>
    <row r="10" spans="2:46" ht="30" customHeight="1" x14ac:dyDescent="0.2">
      <c r="B10" s="65" t="str">
        <f>'2026 Applebee Finish Summary'!I11</f>
        <v>MacGuffin</v>
      </c>
      <c r="C10" s="423" t="str">
        <f>'2026 Applebee Finish Summary'!J11</f>
        <v>Shock Harbor 25</v>
      </c>
      <c r="D10" s="423" t="str">
        <f>'2026 Applebee Finish Summary'!K11</f>
        <v>Darryl Rosenbaum</v>
      </c>
      <c r="E10" s="46">
        <f>'Handicaps-Roster'!G12</f>
        <v>204</v>
      </c>
      <c r="F10" s="46">
        <f>'Handicaps-Roster'!H12</f>
        <v>204</v>
      </c>
      <c r="G10" s="46">
        <f>'Race #6'!AH10</f>
        <v>204</v>
      </c>
      <c r="H10" s="58" t="e">
        <f t="shared" si="0"/>
        <v>#DIV/0!</v>
      </c>
      <c r="I10" s="46" t="e">
        <f>'Race #6'!AI10</f>
        <v>#DIV/0!</v>
      </c>
      <c r="J10" s="58" t="e">
        <f t="shared" si="1"/>
        <v>#DIV/0!</v>
      </c>
      <c r="K10" s="58" t="str">
        <f t="shared" si="17"/>
        <v>No</v>
      </c>
      <c r="L10" s="334">
        <f t="shared" si="2"/>
        <v>0</v>
      </c>
      <c r="M10" s="329"/>
      <c r="N10" s="329"/>
      <c r="O10" s="34">
        <f t="shared" si="18"/>
        <v>0</v>
      </c>
      <c r="P10" s="337" t="str">
        <f t="shared" si="3"/>
        <v/>
      </c>
      <c r="Q10" s="160">
        <f t="shared" si="24"/>
        <v>0</v>
      </c>
      <c r="R10" s="161">
        <f t="shared" si="25"/>
        <v>0</v>
      </c>
      <c r="S10" s="161">
        <f t="shared" si="4"/>
        <v>0</v>
      </c>
      <c r="T10" s="331" t="s">
        <v>140</v>
      </c>
      <c r="U10" s="335" t="str">
        <f t="shared" si="19"/>
        <v/>
      </c>
      <c r="V10" s="336">
        <f t="shared" si="5"/>
        <v>0</v>
      </c>
      <c r="W10" s="336">
        <f t="shared" si="27"/>
        <v>0</v>
      </c>
      <c r="X10" s="161">
        <f t="shared" si="20"/>
        <v>0</v>
      </c>
      <c r="Y10" s="34" t="e">
        <f t="shared" si="21"/>
        <v>#DIV/0!</v>
      </c>
      <c r="Z10" s="62" t="str">
        <f t="shared" si="7"/>
        <v/>
      </c>
      <c r="AA10" s="62" t="e">
        <f t="shared" si="8"/>
        <v>#DIV/0!</v>
      </c>
      <c r="AB10" s="169" t="e">
        <f t="shared" si="9"/>
        <v>#DIV/0!</v>
      </c>
      <c r="AC10" s="173" t="e">
        <f t="shared" si="10"/>
        <v>#DIV/0!</v>
      </c>
      <c r="AD10" s="34" t="e">
        <f t="shared" si="11"/>
        <v>#DIV/0!</v>
      </c>
      <c r="AE10" s="34" t="e">
        <f t="shared" si="12"/>
        <v>#DIV/0!</v>
      </c>
      <c r="AF10" s="34" t="e">
        <f t="shared" si="26"/>
        <v>#DIV/0!</v>
      </c>
      <c r="AG10" s="78" t="e">
        <f t="shared" si="13"/>
        <v>#DIV/0!</v>
      </c>
      <c r="AH10" s="166">
        <f>MIN(MAX(IF(T10="Yes",G10+AG10,G10),'Handicaps-Roster'!L12),'Handicaps-Roster'!M12)</f>
        <v>204</v>
      </c>
      <c r="AI10" s="166" t="e">
        <f>MIN(MAX(IF(T10="No",I10+AG10,I10),'Handicaps-Roster'!N12),'Handicaps-Roster'!O12)</f>
        <v>#DIV/0!</v>
      </c>
      <c r="AJ10" s="174" t="e">
        <f>AC10+'Race #6'!AJ10</f>
        <v>#DIV/0!</v>
      </c>
      <c r="AK10" s="175" t="str">
        <f t="shared" si="22"/>
        <v/>
      </c>
      <c r="AL10" s="194" t="str">
        <f t="shared" si="14"/>
        <v/>
      </c>
      <c r="AM10" s="156" t="e">
        <f t="shared" si="15"/>
        <v>#DIV/0!</v>
      </c>
      <c r="AN10" s="156" t="e">
        <f t="shared" si="23"/>
        <v>#DIV/0!</v>
      </c>
      <c r="AO10" s="156" t="e">
        <f>AN10+'Race #6'!AO10</f>
        <v>#DIV/0!</v>
      </c>
      <c r="AP10" s="120" t="str">
        <f t="shared" si="16"/>
        <v>MacGuffin</v>
      </c>
      <c r="AQ10" s="81"/>
    </row>
    <row r="11" spans="2:46" ht="30" customHeight="1" x14ac:dyDescent="0.2">
      <c r="B11" s="347" t="str">
        <f>'2026 Applebee Finish Summary'!I12</f>
        <v>Mirabelle</v>
      </c>
      <c r="C11" s="422" t="str">
        <f>'2026 Applebee Finish Summary'!J12</f>
        <v>Cape Dory 32</v>
      </c>
      <c r="D11" s="422" t="str">
        <f>'2026 Applebee Finish Summary'!K12</f>
        <v>Campbell McLeod</v>
      </c>
      <c r="E11" s="162">
        <f>'Handicaps-Roster'!G13</f>
        <v>204</v>
      </c>
      <c r="F11" s="162">
        <f>'Handicaps-Roster'!H13</f>
        <v>216</v>
      </c>
      <c r="G11" s="162">
        <f>'Race #6'!AH11</f>
        <v>233.5</v>
      </c>
      <c r="H11" s="61" t="e">
        <f t="shared" si="0"/>
        <v>#DIV/0!</v>
      </c>
      <c r="I11" s="162" t="e">
        <f>'Race #6'!AI11</f>
        <v>#DIV/0!</v>
      </c>
      <c r="J11" s="61" t="e">
        <f t="shared" si="1"/>
        <v>#DIV/0!</v>
      </c>
      <c r="K11" s="61" t="str">
        <f t="shared" si="17"/>
        <v>No</v>
      </c>
      <c r="L11" s="328">
        <f t="shared" si="2"/>
        <v>0</v>
      </c>
      <c r="M11" s="329"/>
      <c r="N11" s="329"/>
      <c r="O11" s="59">
        <f t="shared" si="18"/>
        <v>0</v>
      </c>
      <c r="P11" s="337" t="str">
        <f t="shared" si="3"/>
        <v/>
      </c>
      <c r="Q11" s="163">
        <f t="shared" si="24"/>
        <v>0</v>
      </c>
      <c r="R11" s="164">
        <f t="shared" si="25"/>
        <v>0</v>
      </c>
      <c r="S11" s="164">
        <f t="shared" si="4"/>
        <v>0</v>
      </c>
      <c r="T11" s="331" t="s">
        <v>140</v>
      </c>
      <c r="U11" s="332" t="str">
        <f t="shared" si="19"/>
        <v/>
      </c>
      <c r="V11" s="333">
        <f t="shared" si="5"/>
        <v>0</v>
      </c>
      <c r="W11" s="333">
        <f t="shared" si="27"/>
        <v>0</v>
      </c>
      <c r="X11" s="164">
        <f t="shared" si="20"/>
        <v>0</v>
      </c>
      <c r="Y11" s="59" t="e">
        <f t="shared" si="21"/>
        <v>#DIV/0!</v>
      </c>
      <c r="Z11" s="77" t="str">
        <f t="shared" si="7"/>
        <v/>
      </c>
      <c r="AA11" s="77" t="e">
        <f t="shared" si="8"/>
        <v>#DIV/0!</v>
      </c>
      <c r="AB11" s="169" t="e">
        <f t="shared" si="9"/>
        <v>#DIV/0!</v>
      </c>
      <c r="AC11" s="173" t="e">
        <f t="shared" si="10"/>
        <v>#DIV/0!</v>
      </c>
      <c r="AD11" s="59" t="e">
        <f t="shared" si="11"/>
        <v>#DIV/0!</v>
      </c>
      <c r="AE11" s="59" t="e">
        <f t="shared" si="12"/>
        <v>#DIV/0!</v>
      </c>
      <c r="AF11" s="59" t="e">
        <f t="shared" si="26"/>
        <v>#DIV/0!</v>
      </c>
      <c r="AG11" s="60" t="e">
        <f t="shared" si="13"/>
        <v>#DIV/0!</v>
      </c>
      <c r="AH11" s="165">
        <f>MIN(MAX(IF(T11="Yes",G11+AG11,G11),'Handicaps-Roster'!L13),'Handicaps-Roster'!M13)</f>
        <v>233.5</v>
      </c>
      <c r="AI11" s="165" t="e">
        <f>MIN(MAX(IF(T11="No",I11+AG11,I11),'Handicaps-Roster'!N13),'Handicaps-Roster'!O13)</f>
        <v>#DIV/0!</v>
      </c>
      <c r="AJ11" s="174" t="e">
        <f>AC11+'Race #6'!AJ11</f>
        <v>#DIV/0!</v>
      </c>
      <c r="AK11" s="176" t="str">
        <f t="shared" si="22"/>
        <v/>
      </c>
      <c r="AL11" s="195" t="str">
        <f t="shared" si="14"/>
        <v/>
      </c>
      <c r="AM11" s="156" t="e">
        <f t="shared" si="15"/>
        <v>#DIV/0!</v>
      </c>
      <c r="AN11" s="156" t="e">
        <f t="shared" si="23"/>
        <v>#DIV/0!</v>
      </c>
      <c r="AO11" s="156" t="e">
        <f>AN11+'Race #6'!AO11</f>
        <v>#DIV/0!</v>
      </c>
      <c r="AP11" s="158" t="str">
        <f t="shared" si="16"/>
        <v>Mirabelle</v>
      </c>
      <c r="AQ11" s="81"/>
    </row>
    <row r="12" spans="2:46" ht="30" customHeight="1" x14ac:dyDescent="0.2">
      <c r="B12" s="65" t="str">
        <f>'2026 Applebee Finish Summary'!I13</f>
        <v>Outrageous</v>
      </c>
      <c r="C12" s="423" t="str">
        <f>'2026 Applebee Finish Summary'!J13</f>
        <v>Tanzer 22</v>
      </c>
      <c r="D12" s="423" t="str">
        <f>'2026 Applebee Finish Summary'!K13</f>
        <v>Don Webb</v>
      </c>
      <c r="E12" s="46">
        <f>'Handicaps-Roster'!G14</f>
        <v>254</v>
      </c>
      <c r="F12" s="46">
        <f>'Handicaps-Roster'!H14</f>
        <v>261</v>
      </c>
      <c r="G12" s="46">
        <f>'Race #6'!AH12</f>
        <v>252.6</v>
      </c>
      <c r="H12" s="58" t="e">
        <f t="shared" si="0"/>
        <v>#DIV/0!</v>
      </c>
      <c r="I12" s="46" t="e">
        <f>'Race #6'!AI12</f>
        <v>#DIV/0!</v>
      </c>
      <c r="J12" s="58" t="e">
        <f t="shared" si="1"/>
        <v>#DIV/0!</v>
      </c>
      <c r="K12" s="58" t="str">
        <f t="shared" si="17"/>
        <v>No</v>
      </c>
      <c r="L12" s="334">
        <f t="shared" si="2"/>
        <v>0</v>
      </c>
      <c r="M12" s="329"/>
      <c r="N12" s="329"/>
      <c r="O12" s="34">
        <f t="shared" si="18"/>
        <v>0</v>
      </c>
      <c r="P12" s="337" t="str">
        <f t="shared" si="3"/>
        <v/>
      </c>
      <c r="Q12" s="160">
        <f t="shared" si="24"/>
        <v>0</v>
      </c>
      <c r="R12" s="161">
        <f t="shared" si="25"/>
        <v>0</v>
      </c>
      <c r="S12" s="161">
        <f t="shared" si="4"/>
        <v>0</v>
      </c>
      <c r="T12" s="331" t="s">
        <v>140</v>
      </c>
      <c r="U12" s="335" t="str">
        <f t="shared" si="19"/>
        <v/>
      </c>
      <c r="V12" s="336">
        <f t="shared" si="5"/>
        <v>0</v>
      </c>
      <c r="W12" s="336">
        <f t="shared" si="27"/>
        <v>0</v>
      </c>
      <c r="X12" s="161">
        <f t="shared" si="20"/>
        <v>0</v>
      </c>
      <c r="Y12" s="34" t="e">
        <f t="shared" si="21"/>
        <v>#DIV/0!</v>
      </c>
      <c r="Z12" s="62" t="str">
        <f t="shared" si="7"/>
        <v/>
      </c>
      <c r="AA12" s="62" t="e">
        <f t="shared" si="8"/>
        <v>#DIV/0!</v>
      </c>
      <c r="AB12" s="169" t="e">
        <f t="shared" si="9"/>
        <v>#DIV/0!</v>
      </c>
      <c r="AC12" s="173" t="e">
        <f t="shared" si="10"/>
        <v>#DIV/0!</v>
      </c>
      <c r="AD12" s="34" t="e">
        <f t="shared" si="11"/>
        <v>#DIV/0!</v>
      </c>
      <c r="AE12" s="34" t="e">
        <f t="shared" si="12"/>
        <v>#DIV/0!</v>
      </c>
      <c r="AF12" s="34" t="e">
        <f t="shared" si="26"/>
        <v>#DIV/0!</v>
      </c>
      <c r="AG12" s="78" t="e">
        <f t="shared" si="13"/>
        <v>#DIV/0!</v>
      </c>
      <c r="AH12" s="166">
        <f>MIN(MAX(IF(T12="Yes",G12+AG12,G12),'Handicaps-Roster'!L14),'Handicaps-Roster'!M14)</f>
        <v>252.6</v>
      </c>
      <c r="AI12" s="166" t="e">
        <f>MIN(MAX(IF(T12="No",I12+AG12,I12),'Handicaps-Roster'!N14),'Handicaps-Roster'!O14)</f>
        <v>#DIV/0!</v>
      </c>
      <c r="AJ12" s="174" t="e">
        <f>AC12+'Race #6'!AJ12</f>
        <v>#DIV/0!</v>
      </c>
      <c r="AK12" s="175" t="str">
        <f t="shared" si="22"/>
        <v/>
      </c>
      <c r="AL12" s="194" t="str">
        <f t="shared" si="14"/>
        <v/>
      </c>
      <c r="AM12" s="156" t="e">
        <f t="shared" si="15"/>
        <v>#DIV/0!</v>
      </c>
      <c r="AN12" s="156" t="e">
        <f t="shared" si="23"/>
        <v>#DIV/0!</v>
      </c>
      <c r="AO12" s="156" t="e">
        <f>AN12+'Race #6'!AO12</f>
        <v>#DIV/0!</v>
      </c>
      <c r="AP12" s="120" t="str">
        <f t="shared" si="16"/>
        <v>Outrageous</v>
      </c>
      <c r="AQ12" s="81"/>
    </row>
    <row r="13" spans="2:46" ht="30" customHeight="1" x14ac:dyDescent="0.2">
      <c r="B13" s="347" t="str">
        <f>'2026 Applebee Finish Summary'!I14</f>
        <v>Paradox</v>
      </c>
      <c r="C13" s="422" t="str">
        <f>'2026 Applebee Finish Summary'!J14</f>
        <v>J 92</v>
      </c>
      <c r="D13" s="422" t="str">
        <f>'2026 Applebee Finish Summary'!K14</f>
        <v>Glenn VanOtteren/Ted Standiford</v>
      </c>
      <c r="E13" s="162">
        <f>'Handicaps-Roster'!G15</f>
        <v>111</v>
      </c>
      <c r="F13" s="162">
        <f>'Handicaps-Roster'!H15</f>
        <v>132</v>
      </c>
      <c r="G13" s="162">
        <f>'Race #6'!AH13</f>
        <v>94.35</v>
      </c>
      <c r="H13" s="61" t="e">
        <f t="shared" si="0"/>
        <v>#DIV/0!</v>
      </c>
      <c r="I13" s="162" t="e">
        <f>'Race #6'!AI13</f>
        <v>#DIV/0!</v>
      </c>
      <c r="J13" s="61" t="e">
        <f t="shared" si="1"/>
        <v>#DIV/0!</v>
      </c>
      <c r="K13" s="61" t="str">
        <f t="shared" si="17"/>
        <v>No</v>
      </c>
      <c r="L13" s="328">
        <f t="shared" si="2"/>
        <v>0</v>
      </c>
      <c r="M13" s="329"/>
      <c r="N13" s="329"/>
      <c r="O13" s="59">
        <f t="shared" si="18"/>
        <v>0</v>
      </c>
      <c r="P13" s="337" t="str">
        <f t="shared" si="3"/>
        <v/>
      </c>
      <c r="Q13" s="163">
        <f t="shared" si="24"/>
        <v>0</v>
      </c>
      <c r="R13" s="164">
        <f t="shared" si="25"/>
        <v>0</v>
      </c>
      <c r="S13" s="164">
        <f t="shared" si="4"/>
        <v>0</v>
      </c>
      <c r="T13" s="331" t="s">
        <v>140</v>
      </c>
      <c r="U13" s="165" t="str">
        <f>IF(O13=1,IF(T13="No",I13,G13),"")</f>
        <v/>
      </c>
      <c r="V13" s="333">
        <f t="shared" si="5"/>
        <v>0</v>
      </c>
      <c r="W13" s="333">
        <f t="shared" si="27"/>
        <v>0</v>
      </c>
      <c r="X13" s="164">
        <f t="shared" si="20"/>
        <v>0</v>
      </c>
      <c r="Y13" s="59" t="e">
        <f t="shared" si="21"/>
        <v>#DIV/0!</v>
      </c>
      <c r="Z13" s="77" t="str">
        <f t="shared" si="7"/>
        <v/>
      </c>
      <c r="AA13" s="77" t="e">
        <f t="shared" si="8"/>
        <v>#DIV/0!</v>
      </c>
      <c r="AB13" s="169" t="e">
        <f t="shared" si="9"/>
        <v>#DIV/0!</v>
      </c>
      <c r="AC13" s="173" t="e">
        <f t="shared" si="10"/>
        <v>#DIV/0!</v>
      </c>
      <c r="AD13" s="59" t="e">
        <f t="shared" si="11"/>
        <v>#DIV/0!</v>
      </c>
      <c r="AE13" s="59" t="e">
        <f t="shared" si="12"/>
        <v>#DIV/0!</v>
      </c>
      <c r="AF13" s="59" t="e">
        <f t="shared" si="26"/>
        <v>#DIV/0!</v>
      </c>
      <c r="AG13" s="60" t="e">
        <f t="shared" si="13"/>
        <v>#DIV/0!</v>
      </c>
      <c r="AH13" s="165">
        <f>MIN(MAX(IF(T13="Yes",G13+AG13,G13),'Handicaps-Roster'!L15),'Handicaps-Roster'!M15)</f>
        <v>94.35</v>
      </c>
      <c r="AI13" s="165" t="e">
        <f>MIN(MAX(IF(T13="No",I13+AG13,I13),'Handicaps-Roster'!N15),'Handicaps-Roster'!O15)</f>
        <v>#DIV/0!</v>
      </c>
      <c r="AJ13" s="174" t="e">
        <f>AC13+'Race #6'!AJ13</f>
        <v>#DIV/0!</v>
      </c>
      <c r="AK13" s="176" t="str">
        <f t="shared" si="22"/>
        <v/>
      </c>
      <c r="AL13" s="195" t="str">
        <f t="shared" si="14"/>
        <v/>
      </c>
      <c r="AM13" s="156" t="e">
        <f t="shared" si="15"/>
        <v>#DIV/0!</v>
      </c>
      <c r="AN13" s="156" t="e">
        <f t="shared" si="23"/>
        <v>#DIV/0!</v>
      </c>
      <c r="AO13" s="156" t="e">
        <f>AN13+'Race #6'!AO13</f>
        <v>#DIV/0!</v>
      </c>
      <c r="AP13" s="158" t="str">
        <f t="shared" si="16"/>
        <v>Paradox</v>
      </c>
      <c r="AQ13" s="81"/>
    </row>
    <row r="14" spans="2:46" ht="30" customHeight="1" x14ac:dyDescent="0.2">
      <c r="B14" s="65" t="str">
        <f>'2026 Applebee Finish Summary'!I15</f>
        <v>Pegasus</v>
      </c>
      <c r="C14" s="423" t="str">
        <f>'2026 Applebee Finish Summary'!J15</f>
        <v>Catalina 320</v>
      </c>
      <c r="D14" s="423" t="str">
        <f>'2026 Applebee Finish Summary'!K15</f>
        <v>Bill Allen</v>
      </c>
      <c r="E14" s="46">
        <f>'Handicaps-Roster'!G16</f>
        <v>162</v>
      </c>
      <c r="F14" s="46">
        <f>'Handicaps-Roster'!H16</f>
        <v>171</v>
      </c>
      <c r="G14" s="46">
        <f>'Race #6'!AH14</f>
        <v>137.69999999999999</v>
      </c>
      <c r="H14" s="58" t="e">
        <f t="shared" si="0"/>
        <v>#DIV/0!</v>
      </c>
      <c r="I14" s="46" t="e">
        <f>'Race #6'!AI14</f>
        <v>#DIV/0!</v>
      </c>
      <c r="J14" s="58" t="e">
        <f t="shared" si="1"/>
        <v>#DIV/0!</v>
      </c>
      <c r="K14" s="58" t="str">
        <f t="shared" si="17"/>
        <v>No</v>
      </c>
      <c r="L14" s="334">
        <f t="shared" si="2"/>
        <v>0</v>
      </c>
      <c r="M14" s="329"/>
      <c r="N14" s="329"/>
      <c r="O14" s="34">
        <f t="shared" si="18"/>
        <v>0</v>
      </c>
      <c r="P14" s="337" t="str">
        <f t="shared" si="3"/>
        <v/>
      </c>
      <c r="Q14" s="160">
        <f t="shared" si="24"/>
        <v>0</v>
      </c>
      <c r="R14" s="161">
        <f t="shared" si="25"/>
        <v>0</v>
      </c>
      <c r="S14" s="161">
        <f t="shared" si="4"/>
        <v>0</v>
      </c>
      <c r="T14" s="331" t="s">
        <v>140</v>
      </c>
      <c r="U14" s="335" t="str">
        <f t="shared" si="19"/>
        <v/>
      </c>
      <c r="V14" s="336">
        <f t="shared" si="5"/>
        <v>0</v>
      </c>
      <c r="W14" s="336">
        <f t="shared" si="27"/>
        <v>0</v>
      </c>
      <c r="X14" s="161">
        <f t="shared" si="20"/>
        <v>0</v>
      </c>
      <c r="Y14" s="34" t="e">
        <f>IF(T14="Yes",R14*H14,R14*J14)</f>
        <v>#DIV/0!</v>
      </c>
      <c r="Z14" s="62" t="str">
        <f t="shared" si="7"/>
        <v/>
      </c>
      <c r="AA14" s="62" t="e">
        <f t="shared" si="8"/>
        <v>#DIV/0!</v>
      </c>
      <c r="AB14" s="169" t="e">
        <f t="shared" si="9"/>
        <v>#DIV/0!</v>
      </c>
      <c r="AC14" s="173" t="e">
        <f t="shared" si="10"/>
        <v>#DIV/0!</v>
      </c>
      <c r="AD14" s="34" t="e">
        <f t="shared" si="11"/>
        <v>#DIV/0!</v>
      </c>
      <c r="AE14" s="34" t="e">
        <f t="shared" si="12"/>
        <v>#DIV/0!</v>
      </c>
      <c r="AF14" s="34" t="e">
        <f t="shared" si="26"/>
        <v>#DIV/0!</v>
      </c>
      <c r="AG14" s="78" t="e">
        <f t="shared" si="13"/>
        <v>#DIV/0!</v>
      </c>
      <c r="AH14" s="166">
        <f>MIN(MAX(IF(T14="Yes",G14+AG14,G14),'Handicaps-Roster'!L16),'Handicaps-Roster'!M16)</f>
        <v>137.69999999999999</v>
      </c>
      <c r="AI14" s="166" t="e">
        <f>MIN(MAX(IF(T14="No",I14+AG14,I14),'Handicaps-Roster'!N16),'Handicaps-Roster'!O16)</f>
        <v>#DIV/0!</v>
      </c>
      <c r="AJ14" s="174" t="e">
        <f>AC14+'Race #6'!AJ14</f>
        <v>#DIV/0!</v>
      </c>
      <c r="AK14" s="175" t="str">
        <f t="shared" si="22"/>
        <v/>
      </c>
      <c r="AL14" s="194" t="str">
        <f t="shared" si="14"/>
        <v/>
      </c>
      <c r="AM14" s="156" t="e">
        <f t="shared" si="15"/>
        <v>#DIV/0!</v>
      </c>
      <c r="AN14" s="156" t="e">
        <f t="shared" si="23"/>
        <v>#DIV/0!</v>
      </c>
      <c r="AO14" s="156" t="e">
        <f>AN14+'Race #6'!AO14</f>
        <v>#DIV/0!</v>
      </c>
      <c r="AP14" s="120" t="str">
        <f>B14</f>
        <v>Pegasus</v>
      </c>
      <c r="AQ14" s="81"/>
    </row>
    <row r="15" spans="2:46" ht="30" customHeight="1" x14ac:dyDescent="0.2">
      <c r="B15" s="348" t="str">
        <f>'2026 Applebee Finish Summary'!I16</f>
        <v>Triton</v>
      </c>
      <c r="C15" s="424" t="str">
        <f>'2026 Applebee Finish Summary'!J16</f>
        <v>Hans Christian 43</v>
      </c>
      <c r="D15" s="424" t="str">
        <f>'2026 Applebee Finish Summary'!K16</f>
        <v>Alex Parks</v>
      </c>
      <c r="E15" s="46">
        <f>'Handicaps-Roster'!G17</f>
        <v>162</v>
      </c>
      <c r="F15" s="46">
        <f>'Handicaps-Roster'!H17</f>
        <v>177</v>
      </c>
      <c r="G15" s="46">
        <f>'Race #6'!AH15</f>
        <v>194.4</v>
      </c>
      <c r="H15" s="58" t="e">
        <f t="shared" si="0"/>
        <v>#DIV/0!</v>
      </c>
      <c r="I15" s="46" t="e">
        <f>'Race #6'!AI15</f>
        <v>#DIV/0!</v>
      </c>
      <c r="J15" s="58" t="e">
        <f t="shared" si="1"/>
        <v>#DIV/0!</v>
      </c>
      <c r="K15" s="412" t="str">
        <f t="shared" si="17"/>
        <v>No</v>
      </c>
      <c r="L15" s="334">
        <f>IF(K15="Yes",1,0)</f>
        <v>0</v>
      </c>
      <c r="M15" s="329"/>
      <c r="N15" s="329"/>
      <c r="O15" s="34">
        <f t="shared" si="18"/>
        <v>0</v>
      </c>
      <c r="P15" s="337" t="str">
        <f t="shared" si="3"/>
        <v/>
      </c>
      <c r="Q15" s="160">
        <f>N15-M15</f>
        <v>0</v>
      </c>
      <c r="R15" s="161">
        <f>HOUR(Q15)*3600+MINUTE(Q15)*60+SECOND(Q15)</f>
        <v>0</v>
      </c>
      <c r="S15" s="161">
        <f t="shared" si="4"/>
        <v>0</v>
      </c>
      <c r="T15" s="331" t="s">
        <v>140</v>
      </c>
      <c r="U15" s="335" t="str">
        <f>IF(O15=1,IF(T15="No",I15,G15),"")</f>
        <v/>
      </c>
      <c r="V15" s="336">
        <f t="shared" si="5"/>
        <v>0</v>
      </c>
      <c r="W15" s="336">
        <f t="shared" si="27"/>
        <v>0</v>
      </c>
      <c r="X15" s="161">
        <f>R15-S15+V15</f>
        <v>0</v>
      </c>
      <c r="Y15" s="34" t="e">
        <f>IF(T15="Yes",R15*H15,R15*J15)</f>
        <v>#DIV/0!</v>
      </c>
      <c r="Z15" s="62" t="str">
        <f t="shared" si="7"/>
        <v/>
      </c>
      <c r="AA15" s="62" t="e">
        <f t="shared" si="8"/>
        <v>#DIV/0!</v>
      </c>
      <c r="AB15" s="169" t="e">
        <f t="shared" si="9"/>
        <v>#DIV/0!</v>
      </c>
      <c r="AC15" s="173" t="e">
        <f t="shared" si="10"/>
        <v>#DIV/0!</v>
      </c>
      <c r="AD15" s="34" t="e">
        <f t="shared" si="11"/>
        <v>#DIV/0!</v>
      </c>
      <c r="AE15" s="34" t="e">
        <f t="shared" si="12"/>
        <v>#DIV/0!</v>
      </c>
      <c r="AF15" s="34" t="e">
        <f>IF(AE15&gt;30,30,IF(AE15&lt;-30,-30,(AE15)))</f>
        <v>#DIV/0!</v>
      </c>
      <c r="AG15" s="78" t="e">
        <f t="shared" si="13"/>
        <v>#DIV/0!</v>
      </c>
      <c r="AH15" s="166">
        <f>MIN(MAX(IF(T15="Yes",G15+AG15,G15),'Handicaps-Roster'!L17),'Handicaps-Roster'!M17)</f>
        <v>194.4</v>
      </c>
      <c r="AI15" s="166" t="e">
        <f>MIN(MAX(IF(T15="No",I15+AG15,I15),'Handicaps-Roster'!N17),'Handicaps-Roster'!O17)</f>
        <v>#DIV/0!</v>
      </c>
      <c r="AJ15" s="174" t="e">
        <f>AC15+'Race #6'!AJ15</f>
        <v>#DIV/0!</v>
      </c>
      <c r="AK15" s="175" t="str">
        <f>IF(O15=1,IF(T15="Yes",E15,F15),"")</f>
        <v/>
      </c>
      <c r="AL15" s="194" t="str">
        <f t="shared" si="14"/>
        <v/>
      </c>
      <c r="AM15" s="156" t="e">
        <f t="shared" si="15"/>
        <v>#DIV/0!</v>
      </c>
      <c r="AN15" s="156" t="e">
        <f>IF(AM15=1,5,IF(AM15=2,4,IF(AM15=3,3,IF(AM15=4,2,IF(AM15=5,1,0)))))+O15</f>
        <v>#DIV/0!</v>
      </c>
      <c r="AO15" s="156" t="e">
        <f>AN15+'Race #6'!AO15</f>
        <v>#DIV/0!</v>
      </c>
      <c r="AP15" s="120" t="str">
        <f>B15</f>
        <v>Triton</v>
      </c>
      <c r="AQ15" s="81"/>
    </row>
    <row r="16" spans="2:46" ht="30" customHeight="1" x14ac:dyDescent="0.2">
      <c r="B16" s="349" t="str">
        <f>'2026 Applebee Finish Summary'!I17</f>
        <v>Lone Gull</v>
      </c>
      <c r="C16" s="425" t="str">
        <f>'2026 Applebee Finish Summary'!J17</f>
        <v>Cal 20</v>
      </c>
      <c r="D16" s="425" t="str">
        <f>'2026 Applebee Finish Summary'!K17</f>
        <v>Kevin Savage</v>
      </c>
      <c r="E16" s="162">
        <f>'Handicaps-Roster'!G18</f>
        <v>280</v>
      </c>
      <c r="F16" s="162">
        <f>'Handicaps-Roster'!H18</f>
        <v>288</v>
      </c>
      <c r="G16" s="162">
        <f>'Race #6'!AH16</f>
        <v>280</v>
      </c>
      <c r="H16" s="61" t="e">
        <f t="shared" ref="H16:H17" si="28">$E$31/($E$24+G16)</f>
        <v>#DIV/0!</v>
      </c>
      <c r="I16" s="162" t="e">
        <f>'Race #6'!AI16</f>
        <v>#DIV/0!</v>
      </c>
      <c r="J16" s="61" t="e">
        <f t="shared" ref="J16:J17" si="29">$E$31/($E$24+I16)</f>
        <v>#DIV/0!</v>
      </c>
      <c r="K16" s="414" t="str">
        <f t="shared" si="17"/>
        <v>No</v>
      </c>
      <c r="L16" s="328">
        <f t="shared" ref="L16:L17" si="30">IF(K16="Yes",1,0)</f>
        <v>0</v>
      </c>
      <c r="M16" s="329"/>
      <c r="N16" s="329"/>
      <c r="O16" s="59">
        <f t="shared" si="18"/>
        <v>0</v>
      </c>
      <c r="P16" s="337" t="str">
        <f t="shared" si="3"/>
        <v/>
      </c>
      <c r="Q16" s="163">
        <f t="shared" ref="Q16:Q17" si="31">N16-M16</f>
        <v>0</v>
      </c>
      <c r="R16" s="164">
        <f t="shared" ref="R16:R17" si="32">HOUR(Q16)*3600+MINUTE(Q16)*60+SECOND(Q16)</f>
        <v>0</v>
      </c>
      <c r="S16" s="164">
        <f t="shared" ref="S16:S17" si="33">IF(N16&gt;0,($I16*$E$20),0)</f>
        <v>0</v>
      </c>
      <c r="T16" s="331" t="s">
        <v>140</v>
      </c>
      <c r="U16" s="332" t="str">
        <f t="shared" ref="U16:U17" si="34">IF(O16=1,IF(T16="No",I16,G16),"")</f>
        <v/>
      </c>
      <c r="V16" s="333">
        <f t="shared" si="5"/>
        <v>0</v>
      </c>
      <c r="W16" s="333">
        <f t="shared" si="27"/>
        <v>0</v>
      </c>
      <c r="X16" s="164">
        <f t="shared" ref="X16:X17" si="35">R16-S16+V16</f>
        <v>0</v>
      </c>
      <c r="Y16" s="59" t="e">
        <f t="shared" ref="Y16:Y17" si="36">IF(T16="Yes",R16*H16,R16*J16)</f>
        <v>#DIV/0!</v>
      </c>
      <c r="Z16" s="77" t="str">
        <f t="shared" si="7"/>
        <v/>
      </c>
      <c r="AA16" s="77" t="e">
        <f t="shared" si="8"/>
        <v>#DIV/0!</v>
      </c>
      <c r="AB16" s="169" t="e">
        <f t="shared" ref="AB16:AB17" si="37">IF($E$21="Yes",Z16,AA16)</f>
        <v>#DIV/0!</v>
      </c>
      <c r="AC16" s="173" t="e">
        <f t="shared" ref="AC16:AC17" si="38">IF($E$21="Yes",IF(Z16=1,5,IF(Z16=2,4,IF(Z16=3,3,IF(Z16=4,2,IF(Z16=5,1,0))))),IF(AA16=1,5,IF(AA16=2,4,IF(AA16=3,3,IF(AA16=4,2,IF(AA16=5,1,0))))))+L16</f>
        <v>#DIV/0!</v>
      </c>
      <c r="AD16" s="59" t="e">
        <f t="shared" ref="AD16:AD17" si="39">Y16/$E$20</f>
        <v>#DIV/0!</v>
      </c>
      <c r="AE16" s="59" t="e">
        <f t="shared" ref="AE16:AE17" si="40">IF(AD16&gt;0,((Y16/$E$20)-$E$29),0)</f>
        <v>#DIV/0!</v>
      </c>
      <c r="AF16" s="59" t="e">
        <f t="shared" ref="AF16:AF17" si="41">IF(AE16&gt;30,30,IF(AE16&lt;-30,-30,(AE16)))</f>
        <v>#DIV/0!</v>
      </c>
      <c r="AG16" s="60" t="e">
        <f t="shared" ref="AG16:AG17" si="42">AF16*$E$22</f>
        <v>#DIV/0!</v>
      </c>
      <c r="AH16" s="165">
        <f>MIN(MAX(IF(T16="Yes",G16+AG16,G16),'Handicaps-Roster'!L18),'Handicaps-Roster'!M18)</f>
        <v>280</v>
      </c>
      <c r="AI16" s="165" t="e">
        <f>MIN(MAX(IF(T16="No",I16+AG16,I16),'Handicaps-Roster'!N18),'Handicaps-Roster'!O18)</f>
        <v>#DIV/0!</v>
      </c>
      <c r="AJ16" s="174" t="e">
        <f>AC16+'Race #6'!AJ16</f>
        <v>#DIV/0!</v>
      </c>
      <c r="AK16" s="176" t="str">
        <f t="shared" ref="AK16:AK17" si="43">IF(O16=1,IF(T16="Yes",E16,F16),"")</f>
        <v/>
      </c>
      <c r="AL16" s="195" t="str">
        <f t="shared" ref="AL16:AL17" si="44">IFERROR((($AN$22/($E$24+AK16))*R16),"")</f>
        <v/>
      </c>
      <c r="AM16" s="156" t="e">
        <f t="shared" si="15"/>
        <v>#DIV/0!</v>
      </c>
      <c r="AN16" s="156" t="e">
        <f t="shared" ref="AN16:AN17" si="45">IF(AM16=1,5,IF(AM16=2,4,IF(AM16=3,3,IF(AM16=4,2,IF(AM16=5,1,0)))))+O16</f>
        <v>#DIV/0!</v>
      </c>
      <c r="AO16" s="156" t="e">
        <f>AN16+'Race #6'!AO16</f>
        <v>#DIV/0!</v>
      </c>
      <c r="AP16" s="158" t="str">
        <f t="shared" ref="AP16:AP17" si="46">B16</f>
        <v>Lone Gull</v>
      </c>
      <c r="AQ16" s="81"/>
    </row>
    <row r="17" spans="2:43" ht="30" customHeight="1" thickBot="1" x14ac:dyDescent="0.25">
      <c r="B17" s="396">
        <f>'2026 Applebee Finish Summary'!I18</f>
        <v>0</v>
      </c>
      <c r="C17" s="426">
        <f>'2026 Applebee Finish Summary'!J18</f>
        <v>0</v>
      </c>
      <c r="D17" s="426">
        <f>'2026 Applebee Finish Summary'!K18</f>
        <v>0</v>
      </c>
      <c r="E17" s="275">
        <f>'Handicaps-Roster'!G19</f>
        <v>0</v>
      </c>
      <c r="F17" s="275">
        <f>'Handicaps-Roster'!H19</f>
        <v>0</v>
      </c>
      <c r="G17" s="275">
        <f>'Race #6'!AH17</f>
        <v>0</v>
      </c>
      <c r="H17" s="276" t="e">
        <f t="shared" si="28"/>
        <v>#DIV/0!</v>
      </c>
      <c r="I17" s="275" t="e">
        <f>'Race #6'!AI17</f>
        <v>#DIV/0!</v>
      </c>
      <c r="J17" s="276" t="e">
        <f t="shared" si="29"/>
        <v>#DIV/0!</v>
      </c>
      <c r="K17" s="413" t="str">
        <f t="shared" si="17"/>
        <v>No</v>
      </c>
      <c r="L17" s="342">
        <f t="shared" si="30"/>
        <v>0</v>
      </c>
      <c r="M17" s="338"/>
      <c r="N17" s="338"/>
      <c r="O17" s="277">
        <f t="shared" si="18"/>
        <v>0</v>
      </c>
      <c r="P17" s="339" t="str">
        <f t="shared" si="3"/>
        <v/>
      </c>
      <c r="Q17" s="278">
        <f t="shared" si="31"/>
        <v>0</v>
      </c>
      <c r="R17" s="279">
        <f t="shared" si="32"/>
        <v>0</v>
      </c>
      <c r="S17" s="279">
        <f t="shared" si="33"/>
        <v>0</v>
      </c>
      <c r="T17" s="340" t="s">
        <v>140</v>
      </c>
      <c r="U17" s="395" t="str">
        <f t="shared" si="34"/>
        <v/>
      </c>
      <c r="V17" s="343">
        <f t="shared" si="5"/>
        <v>0</v>
      </c>
      <c r="W17" s="343">
        <f t="shared" si="27"/>
        <v>0</v>
      </c>
      <c r="X17" s="279">
        <f t="shared" si="35"/>
        <v>0</v>
      </c>
      <c r="Y17" s="277" t="e">
        <f t="shared" si="36"/>
        <v>#DIV/0!</v>
      </c>
      <c r="Z17" s="280" t="str">
        <f t="shared" si="7"/>
        <v/>
      </c>
      <c r="AA17" s="280" t="e">
        <f t="shared" si="8"/>
        <v>#DIV/0!</v>
      </c>
      <c r="AB17" s="171" t="e">
        <f t="shared" si="37"/>
        <v>#DIV/0!</v>
      </c>
      <c r="AC17" s="177" t="e">
        <f t="shared" si="38"/>
        <v>#DIV/0!</v>
      </c>
      <c r="AD17" s="277" t="e">
        <f t="shared" si="39"/>
        <v>#DIV/0!</v>
      </c>
      <c r="AE17" s="277" t="e">
        <f t="shared" si="40"/>
        <v>#DIV/0!</v>
      </c>
      <c r="AF17" s="277" t="e">
        <f t="shared" si="41"/>
        <v>#DIV/0!</v>
      </c>
      <c r="AG17" s="281" t="e">
        <f t="shared" si="42"/>
        <v>#DIV/0!</v>
      </c>
      <c r="AH17" s="282">
        <f>MIN(MAX(IF(T17="Yes",G17+AG17,G17),'Handicaps-Roster'!L19),'Handicaps-Roster'!M19)</f>
        <v>0</v>
      </c>
      <c r="AI17" s="282" t="e">
        <f>MIN(MAX(IF(T17="No",I17+AG17,I17),'Handicaps-Roster'!N19),'Handicaps-Roster'!O19)</f>
        <v>#DIV/0!</v>
      </c>
      <c r="AJ17" s="178" t="e">
        <f>AC17+'Race #6'!AJ17</f>
        <v>#DIV/0!</v>
      </c>
      <c r="AK17" s="287" t="str">
        <f t="shared" si="43"/>
        <v/>
      </c>
      <c r="AL17" s="286" t="str">
        <f t="shared" si="44"/>
        <v/>
      </c>
      <c r="AM17" s="157" t="e">
        <f t="shared" si="15"/>
        <v>#DIV/0!</v>
      </c>
      <c r="AN17" s="157" t="e">
        <f t="shared" si="45"/>
        <v>#DIV/0!</v>
      </c>
      <c r="AO17" s="157" t="e">
        <f>AN17+'Race #6'!AO17</f>
        <v>#DIV/0!</v>
      </c>
      <c r="AP17" s="284">
        <f t="shared" si="46"/>
        <v>0</v>
      </c>
      <c r="AQ17" s="81"/>
    </row>
    <row r="18" spans="2:43" ht="30" customHeight="1" x14ac:dyDescent="0.2">
      <c r="AO18" s="81"/>
    </row>
    <row r="19" spans="2:43" ht="16" thickBot="1" x14ac:dyDescent="0.25">
      <c r="B19" s="4"/>
      <c r="E19" s="5"/>
      <c r="F19" s="11"/>
      <c r="G19" s="5"/>
      <c r="H19" s="11"/>
      <c r="I19" s="11"/>
      <c r="J19" s="11"/>
      <c r="K19" s="11"/>
      <c r="L19" s="11"/>
      <c r="M19" s="11"/>
      <c r="N19" s="13"/>
      <c r="O19" s="13"/>
      <c r="P19" s="11"/>
      <c r="Q19" s="11"/>
      <c r="R19" s="11"/>
      <c r="S19" s="8"/>
      <c r="T19" s="89" t="s">
        <v>146</v>
      </c>
      <c r="U19" s="11"/>
      <c r="V19" s="11"/>
      <c r="W19" s="13"/>
      <c r="X19" s="13"/>
      <c r="Y19" s="18"/>
      <c r="Z19" s="18"/>
      <c r="AA19" s="13"/>
      <c r="AB19" s="13"/>
      <c r="AC19" s="89" t="s">
        <v>186</v>
      </c>
      <c r="AD19" s="13"/>
      <c r="AE19" s="15"/>
      <c r="AF19" s="16"/>
      <c r="AG19" s="11"/>
      <c r="AH19" s="11"/>
      <c r="AI19" s="5"/>
    </row>
    <row r="20" spans="2:43" ht="18" customHeight="1" x14ac:dyDescent="0.35">
      <c r="D20" s="87" t="s">
        <v>141</v>
      </c>
      <c r="E20" s="86">
        <f>Z30</f>
        <v>0</v>
      </c>
      <c r="G20" s="528" t="s">
        <v>142</v>
      </c>
      <c r="H20" s="482"/>
      <c r="I20" s="511" t="s">
        <v>102</v>
      </c>
      <c r="J20" s="482"/>
      <c r="K20" s="516" t="s">
        <v>143</v>
      </c>
      <c r="L20" s="493"/>
      <c r="M20" s="516" t="s">
        <v>144</v>
      </c>
      <c r="N20" s="491"/>
      <c r="P20" s="512" t="s">
        <v>145</v>
      </c>
      <c r="Q20" s="513"/>
      <c r="U20" s="89" t="s">
        <v>147</v>
      </c>
      <c r="W20" s="89" t="s">
        <v>148</v>
      </c>
      <c r="Z20" s="233" t="s">
        <v>149</v>
      </c>
      <c r="AK20" s="521" t="s">
        <v>150</v>
      </c>
      <c r="AL20" s="500"/>
      <c r="AM20" s="500"/>
      <c r="AN20" s="501"/>
    </row>
    <row r="21" spans="2:43" ht="18" customHeight="1" x14ac:dyDescent="0.2">
      <c r="D21" s="87" t="s">
        <v>151</v>
      </c>
      <c r="E21" s="24" t="s">
        <v>140</v>
      </c>
      <c r="G21" s="526" t="str">
        <f>IF($E$27&gt;0,"First Place","")</f>
        <v/>
      </c>
      <c r="H21" s="478"/>
      <c r="I21" s="529" t="str">
        <f>IF($E$27&gt;0,VLOOKUP(1,$AB$4:$AP$17,15,FALSE),"")</f>
        <v/>
      </c>
      <c r="J21" s="484"/>
      <c r="K21" s="514" t="str">
        <f t="shared" ref="K21:K32" si="47">IFERROR(VLOOKUP(I21,$B$4:$Y$17,24,0)-_xlfn.MINIFS($Y$4:$Y$17,$Y$4:$Y$17,"&gt;0"),"")</f>
        <v/>
      </c>
      <c r="L21" s="515"/>
      <c r="M21" s="514" t="str">
        <f t="shared" ref="M21:M32" si="48">IFERROR(VLOOKUP(I21,$B$4:$X$17,23,0)-_xlfn.MINIFS($X$4:$X$17,$X$4:$X$17,"&gt;0"),"")</f>
        <v/>
      </c>
      <c r="N21" s="517"/>
      <c r="P21" s="115" t="s">
        <v>93</v>
      </c>
      <c r="Q21" s="115" t="s">
        <v>152</v>
      </c>
      <c r="U21" s="30"/>
      <c r="V21" s="30"/>
      <c r="AK21" s="147" t="s">
        <v>153</v>
      </c>
      <c r="AL21" s="148"/>
      <c r="AM21" s="148"/>
      <c r="AN21" s="154" t="e">
        <f>SUM(AK4:AK17)/E27</f>
        <v>#DIV/0!</v>
      </c>
    </row>
    <row r="22" spans="2:43" ht="18" customHeight="1" x14ac:dyDescent="0.2">
      <c r="D22" s="87" t="s">
        <v>154</v>
      </c>
      <c r="E22" s="250">
        <v>0.1</v>
      </c>
      <c r="G22" s="526" t="str">
        <f>IF(E27&gt;1,"Second Place","")</f>
        <v/>
      </c>
      <c r="H22" s="478"/>
      <c r="I22" s="529" t="str">
        <f>IF($E$27&gt;1,VLOOKUP(2,$AB$4:$AP$17,15,FALSE),"")</f>
        <v/>
      </c>
      <c r="J22" s="484"/>
      <c r="K22" s="514" t="str">
        <f t="shared" si="47"/>
        <v/>
      </c>
      <c r="L22" s="515"/>
      <c r="M22" s="514" t="str">
        <f t="shared" si="48"/>
        <v/>
      </c>
      <c r="N22" s="517"/>
      <c r="P22" s="116">
        <v>2</v>
      </c>
      <c r="Q22" s="117">
        <v>1</v>
      </c>
      <c r="U22" s="430" t="s">
        <v>193</v>
      </c>
      <c r="V22" s="430"/>
      <c r="W22" s="430"/>
      <c r="X22" s="107"/>
      <c r="Y22" s="107"/>
      <c r="Z22" s="429"/>
      <c r="AA22" s="148"/>
      <c r="AB22" s="148"/>
      <c r="AK22" s="147" t="s">
        <v>155</v>
      </c>
      <c r="AL22" s="148"/>
      <c r="AM22" s="148"/>
      <c r="AN22" s="154" t="e">
        <f>AN21+E24</f>
        <v>#DIV/0!</v>
      </c>
    </row>
    <row r="23" spans="2:43" ht="18" customHeight="1" thickBot="1" x14ac:dyDescent="0.25">
      <c r="D23" s="87" t="s">
        <v>156</v>
      </c>
      <c r="E23" s="94" t="s">
        <v>170</v>
      </c>
      <c r="G23" s="526" t="str">
        <f>IF(E27&gt;2,"Third Place","")</f>
        <v/>
      </c>
      <c r="H23" s="478"/>
      <c r="I23" s="529" t="str">
        <f>IF($E$27&gt;2,VLOOKUP(3,$AB$4:$AP$17,15,FALSE),"")</f>
        <v/>
      </c>
      <c r="J23" s="484"/>
      <c r="K23" s="514" t="str">
        <f t="shared" si="47"/>
        <v/>
      </c>
      <c r="L23" s="515"/>
      <c r="M23" s="514" t="str">
        <f t="shared" si="48"/>
        <v/>
      </c>
      <c r="N23" s="517"/>
      <c r="P23" s="118">
        <v>3</v>
      </c>
      <c r="Q23" s="108">
        <v>2</v>
      </c>
      <c r="U23" s="430"/>
      <c r="V23" s="430"/>
      <c r="W23" s="430"/>
      <c r="X23" s="107"/>
      <c r="Y23" s="107"/>
      <c r="Z23" s="429"/>
      <c r="AA23" s="148"/>
      <c r="AB23" s="148"/>
      <c r="AK23" s="149" t="s">
        <v>158</v>
      </c>
      <c r="AL23" s="150"/>
      <c r="AM23" s="150"/>
      <c r="AN23" s="152" t="e">
        <f>AN22/(AN21+E24)</f>
        <v>#DIV/0!</v>
      </c>
    </row>
    <row r="24" spans="2:43" ht="18" customHeight="1" x14ac:dyDescent="0.2">
      <c r="D24" s="87" t="s">
        <v>159</v>
      </c>
      <c r="E24" s="249">
        <f>VLOOKUP(E23,I36:K38,3,0)</f>
        <v>600</v>
      </c>
      <c r="G24" s="526" t="str">
        <f>IF(E27&gt;3,"Fourth Place","")</f>
        <v/>
      </c>
      <c r="H24" s="478"/>
      <c r="I24" s="529" t="str">
        <f>IF($E$27&gt;3,VLOOKUP(4,$AB$4:$AP$17,15,FALSE),"")</f>
        <v/>
      </c>
      <c r="J24" s="484"/>
      <c r="K24" s="514" t="str">
        <f t="shared" si="47"/>
        <v/>
      </c>
      <c r="L24" s="515"/>
      <c r="M24" s="514" t="str">
        <f t="shared" si="48"/>
        <v/>
      </c>
      <c r="N24" s="517"/>
      <c r="P24" s="118">
        <v>4</v>
      </c>
      <c r="Q24" s="108">
        <v>2</v>
      </c>
      <c r="U24" s="430"/>
      <c r="V24" s="430"/>
      <c r="W24" s="430"/>
      <c r="X24" s="107"/>
      <c r="Y24" s="107"/>
      <c r="Z24" s="429"/>
      <c r="AA24" s="148"/>
      <c r="AB24" s="148"/>
    </row>
    <row r="25" spans="2:43" ht="18" customHeight="1" x14ac:dyDescent="0.2">
      <c r="D25" s="95"/>
      <c r="E25" s="96"/>
      <c r="G25" s="526" t="str">
        <f>IF(E27&gt;4,"Fifth Place","")</f>
        <v/>
      </c>
      <c r="H25" s="478"/>
      <c r="I25" s="529" t="str">
        <f>IF($E$27&gt;4,VLOOKUP(5,$AB$4:$AP$17,15,FALSE),"")</f>
        <v/>
      </c>
      <c r="J25" s="484"/>
      <c r="K25" s="514" t="str">
        <f t="shared" si="47"/>
        <v/>
      </c>
      <c r="L25" s="515"/>
      <c r="M25" s="514" t="str">
        <f t="shared" si="48"/>
        <v/>
      </c>
      <c r="N25" s="517"/>
      <c r="P25" s="118">
        <v>5</v>
      </c>
      <c r="Q25" s="108">
        <v>2</v>
      </c>
      <c r="U25" s="430"/>
      <c r="V25" s="430"/>
      <c r="W25" s="430"/>
      <c r="X25" s="107"/>
      <c r="Y25" s="107"/>
      <c r="Z25" s="429"/>
      <c r="AA25" s="148"/>
      <c r="AB25" s="148"/>
    </row>
    <row r="26" spans="2:43" ht="18" customHeight="1" x14ac:dyDescent="0.2">
      <c r="D26" s="87" t="s">
        <v>160</v>
      </c>
      <c r="E26" s="23">
        <f>SUM(L4:L17)</f>
        <v>0</v>
      </c>
      <c r="G26" s="526" t="str">
        <f>IF($E$27&gt;5,"Sixth Place","")</f>
        <v/>
      </c>
      <c r="H26" s="478"/>
      <c r="I26" s="529" t="str">
        <f>IF($E$27&gt;5,VLOOKUP(6,$AB$4:$AP$17,15,FALSE),"")</f>
        <v/>
      </c>
      <c r="J26" s="484"/>
      <c r="K26" s="514" t="str">
        <f t="shared" si="47"/>
        <v/>
      </c>
      <c r="L26" s="515"/>
      <c r="M26" s="514" t="str">
        <f t="shared" si="48"/>
        <v/>
      </c>
      <c r="N26" s="517"/>
      <c r="P26" s="118">
        <v>6</v>
      </c>
      <c r="Q26" s="108">
        <v>3</v>
      </c>
      <c r="U26" s="430"/>
      <c r="V26" s="430"/>
      <c r="W26" s="430"/>
      <c r="X26" s="107"/>
      <c r="Y26" s="107"/>
      <c r="Z26" s="429"/>
      <c r="AA26" s="148"/>
      <c r="AB26" s="148"/>
    </row>
    <row r="27" spans="2:43" ht="18" customHeight="1" x14ac:dyDescent="0.2">
      <c r="D27" s="87" t="s">
        <v>161</v>
      </c>
      <c r="E27" s="23">
        <f>SUM(O4:O17)</f>
        <v>0</v>
      </c>
      <c r="G27" s="526" t="str">
        <f>IF($E$27&gt;6,"Seventh Place","")</f>
        <v/>
      </c>
      <c r="H27" s="478"/>
      <c r="I27" s="529" t="str">
        <f>IF($E$27&gt;6,VLOOKUP(7,$AB$4:$AP$17,15,FALSE),"")</f>
        <v/>
      </c>
      <c r="J27" s="484"/>
      <c r="K27" s="514" t="str">
        <f t="shared" si="47"/>
        <v/>
      </c>
      <c r="L27" s="515"/>
      <c r="M27" s="514" t="str">
        <f t="shared" si="48"/>
        <v/>
      </c>
      <c r="N27" s="517"/>
      <c r="P27" s="118">
        <v>7</v>
      </c>
      <c r="Q27" s="108">
        <v>3</v>
      </c>
      <c r="U27" s="430"/>
      <c r="V27" s="430"/>
      <c r="W27" s="430"/>
      <c r="X27" s="107"/>
      <c r="Y27" s="107"/>
      <c r="Z27" s="429"/>
      <c r="AA27" s="148"/>
      <c r="AB27" s="148"/>
    </row>
    <row r="28" spans="2:43" ht="18" customHeight="1" x14ac:dyDescent="0.2">
      <c r="D28" s="87" t="s">
        <v>162</v>
      </c>
      <c r="E28" s="25" t="e">
        <f>VLOOKUP(E27,P22:Q32,2,FALSE)</f>
        <v>#N/A</v>
      </c>
      <c r="G28" s="526" t="str">
        <f>IF(E27&gt;7,"Eighth Place","")</f>
        <v/>
      </c>
      <c r="H28" s="478"/>
      <c r="I28" s="529" t="str">
        <f>IF($E$27&gt;7,VLOOKUP(8,$AB$4:$AP$17,15,FALSE),"")</f>
        <v/>
      </c>
      <c r="J28" s="484"/>
      <c r="K28" s="514" t="str">
        <f t="shared" si="47"/>
        <v/>
      </c>
      <c r="L28" s="515"/>
      <c r="M28" s="514" t="str">
        <f t="shared" si="48"/>
        <v/>
      </c>
      <c r="N28" s="517"/>
      <c r="P28" s="118">
        <v>8</v>
      </c>
      <c r="Q28" s="108">
        <v>3</v>
      </c>
      <c r="U28" s="430"/>
      <c r="V28" s="430"/>
      <c r="W28" s="430"/>
      <c r="X28" s="107"/>
      <c r="Y28" s="107"/>
      <c r="Z28" s="429"/>
      <c r="AA28" s="148"/>
      <c r="AB28" s="148"/>
    </row>
    <row r="29" spans="2:43" ht="18" customHeight="1" x14ac:dyDescent="0.2">
      <c r="D29" s="87" t="s">
        <v>163</v>
      </c>
      <c r="E29" s="26" t="e">
        <f>VLOOKUP(E28,AA4:AD17,4,FALSE)</f>
        <v>#N/A</v>
      </c>
      <c r="G29" s="526" t="str">
        <f>IF(E27&gt;8,"Ninth Place","")</f>
        <v/>
      </c>
      <c r="H29" s="478"/>
      <c r="I29" s="529" t="str">
        <f>IF($E$27&gt;8,VLOOKUP(9,$AB$4:$AP$17,15,FALSE),"")</f>
        <v/>
      </c>
      <c r="J29" s="484"/>
      <c r="K29" s="514" t="str">
        <f t="shared" si="47"/>
        <v/>
      </c>
      <c r="L29" s="515"/>
      <c r="M29" s="514" t="str">
        <f t="shared" si="48"/>
        <v/>
      </c>
      <c r="N29" s="517"/>
      <c r="P29" s="118">
        <v>9</v>
      </c>
      <c r="Q29" s="108">
        <v>4</v>
      </c>
      <c r="U29" s="430"/>
      <c r="V29" s="430"/>
      <c r="W29" s="430"/>
      <c r="X29" s="107"/>
      <c r="Y29" s="107"/>
      <c r="Z29" s="429"/>
      <c r="AA29" s="148"/>
      <c r="AB29" s="148"/>
    </row>
    <row r="30" spans="2:43" ht="18" customHeight="1" x14ac:dyDescent="0.2">
      <c r="D30" s="87" t="s">
        <v>153</v>
      </c>
      <c r="E30" s="25" t="e">
        <f>SUM(U4:U17)/E27</f>
        <v>#DIV/0!</v>
      </c>
      <c r="G30" s="526" t="str">
        <f>IF(E27&gt;9,"Tenth Place","")</f>
        <v/>
      </c>
      <c r="H30" s="478"/>
      <c r="I30" s="529" t="str">
        <f>IF($E$27&gt;9,VLOOKUP(10,$AB$4:$AP$17,15,FALSE),"")</f>
        <v/>
      </c>
      <c r="J30" s="484"/>
      <c r="K30" s="514" t="str">
        <f t="shared" si="47"/>
        <v/>
      </c>
      <c r="L30" s="515"/>
      <c r="M30" s="514" t="str">
        <f t="shared" si="48"/>
        <v/>
      </c>
      <c r="N30" s="517"/>
      <c r="P30" s="118">
        <v>10</v>
      </c>
      <c r="Q30" s="108">
        <v>4</v>
      </c>
      <c r="U30" s="148"/>
      <c r="V30" s="148"/>
      <c r="W30" s="430"/>
      <c r="X30" s="107"/>
      <c r="Y30" s="88" t="s">
        <v>164</v>
      </c>
      <c r="Z30" s="429">
        <f>SUM(Z22:Z26)</f>
        <v>0</v>
      </c>
      <c r="AA30" s="148"/>
      <c r="AB30" s="148"/>
    </row>
    <row r="31" spans="2:43" ht="18" customHeight="1" x14ac:dyDescent="0.2">
      <c r="D31" s="87" t="s">
        <v>155</v>
      </c>
      <c r="E31" s="434" t="e">
        <f>E24+E30</f>
        <v>#DIV/0!</v>
      </c>
      <c r="G31" s="526" t="str">
        <f>IF(E27&gt;10,"Eleventh Place","")</f>
        <v/>
      </c>
      <c r="H31" s="478"/>
      <c r="I31" s="529" t="str">
        <f>IF($E$27&gt;10,VLOOKUP(11,$AB$4:$AP$17,15,FALSE),"")</f>
        <v/>
      </c>
      <c r="J31" s="484"/>
      <c r="K31" s="514" t="str">
        <f t="shared" si="47"/>
        <v/>
      </c>
      <c r="L31" s="515"/>
      <c r="M31" s="514" t="str">
        <f t="shared" si="48"/>
        <v/>
      </c>
      <c r="N31" s="517"/>
      <c r="P31" s="118">
        <v>11</v>
      </c>
      <c r="Q31" s="108">
        <v>4</v>
      </c>
      <c r="W31" s="30"/>
    </row>
    <row r="32" spans="2:43" ht="18" customHeight="1" thickBot="1" x14ac:dyDescent="0.25">
      <c r="D32" s="87" t="s">
        <v>158</v>
      </c>
      <c r="E32" s="418" t="e">
        <f>E31/(E24+E30)</f>
        <v>#DIV/0!</v>
      </c>
      <c r="G32" s="527" t="str">
        <f>IF(E27&gt;11,"Twelth Place","")</f>
        <v/>
      </c>
      <c r="H32" s="480"/>
      <c r="I32" s="530" t="str">
        <f>IF($E$27&gt;11,VLOOKUP(12,$AB$4:$AP$17,15,FALSE),"")</f>
        <v/>
      </c>
      <c r="J32" s="495"/>
      <c r="K32" s="523" t="str">
        <f t="shared" si="47"/>
        <v/>
      </c>
      <c r="L32" s="525"/>
      <c r="M32" s="523" t="str">
        <f t="shared" si="48"/>
        <v/>
      </c>
      <c r="N32" s="524"/>
      <c r="P32" s="119">
        <v>12</v>
      </c>
      <c r="Q32" s="111">
        <v>5</v>
      </c>
      <c r="W32" s="30"/>
    </row>
    <row r="33" spans="4:36" ht="18" customHeight="1" x14ac:dyDescent="0.2"/>
    <row r="34" spans="4:36" ht="18" customHeight="1" x14ac:dyDescent="0.2">
      <c r="D34" s="87" t="s">
        <v>352</v>
      </c>
      <c r="E34" s="416">
        <f>_xlfn.MINIFS(Q4:Q17,Q4:Q17,"&gt;0")*86400</f>
        <v>0</v>
      </c>
      <c r="I34" s="505" t="s">
        <v>165</v>
      </c>
      <c r="J34" s="506"/>
      <c r="K34" s="507"/>
    </row>
    <row r="35" spans="4:36" x14ac:dyDescent="0.2">
      <c r="I35" s="97" t="s">
        <v>166</v>
      </c>
      <c r="J35" s="93" t="s">
        <v>167</v>
      </c>
      <c r="K35" s="98" t="s">
        <v>168</v>
      </c>
    </row>
    <row r="36" spans="4:36" x14ac:dyDescent="0.2">
      <c r="D36" s="88" t="s">
        <v>169</v>
      </c>
      <c r="E36" s="47" t="str">
        <f>IF(E21="Yes","Distance","Time")</f>
        <v>Time</v>
      </c>
      <c r="I36" s="106" t="s">
        <v>170</v>
      </c>
      <c r="J36" s="107" t="s">
        <v>171</v>
      </c>
      <c r="K36" s="108">
        <v>600</v>
      </c>
      <c r="T36" s="4"/>
    </row>
    <row r="37" spans="4:36" x14ac:dyDescent="0.2">
      <c r="D37" s="2" t="s">
        <v>172</v>
      </c>
      <c r="I37" s="106" t="s">
        <v>157</v>
      </c>
      <c r="J37" s="126" t="s">
        <v>173</v>
      </c>
      <c r="K37" s="108">
        <v>550</v>
      </c>
    </row>
    <row r="38" spans="4:36" x14ac:dyDescent="0.2">
      <c r="D38" s="2"/>
      <c r="I38" s="109" t="s">
        <v>174</v>
      </c>
      <c r="J38" s="110" t="s">
        <v>175</v>
      </c>
      <c r="K38" s="111">
        <v>480</v>
      </c>
    </row>
    <row r="39" spans="4:36" x14ac:dyDescent="0.2">
      <c r="D39" s="2"/>
    </row>
    <row r="41" spans="4:36" x14ac:dyDescent="0.2">
      <c r="AJ41" s="1"/>
    </row>
    <row r="42" spans="4:36" x14ac:dyDescent="0.2">
      <c r="D42" s="2"/>
    </row>
    <row r="43" spans="4:36" x14ac:dyDescent="0.2">
      <c r="D43" s="2"/>
    </row>
    <row r="44" spans="4:36" x14ac:dyDescent="0.2">
      <c r="D44" s="2"/>
    </row>
  </sheetData>
  <mergeCells count="57">
    <mergeCell ref="U2:AJ2"/>
    <mergeCell ref="AK20:AN20"/>
    <mergeCell ref="AK2:AO2"/>
    <mergeCell ref="I25:J25"/>
    <mergeCell ref="I34:K34"/>
    <mergeCell ref="M32:N32"/>
    <mergeCell ref="M27:N27"/>
    <mergeCell ref="M28:N28"/>
    <mergeCell ref="M29:N29"/>
    <mergeCell ref="M30:N30"/>
    <mergeCell ref="M31:N31"/>
    <mergeCell ref="K32:L32"/>
    <mergeCell ref="I31:J31"/>
    <mergeCell ref="K27:L27"/>
    <mergeCell ref="K28:L28"/>
    <mergeCell ref="K29:L29"/>
    <mergeCell ref="K30:L30"/>
    <mergeCell ref="K31:L31"/>
    <mergeCell ref="I32:J32"/>
    <mergeCell ref="I26:J26"/>
    <mergeCell ref="I27:J27"/>
    <mergeCell ref="I28:J28"/>
    <mergeCell ref="I29:J29"/>
    <mergeCell ref="I30:J30"/>
    <mergeCell ref="P20:Q20"/>
    <mergeCell ref="K23:L23"/>
    <mergeCell ref="K24:L24"/>
    <mergeCell ref="K25:L25"/>
    <mergeCell ref="K26:L26"/>
    <mergeCell ref="M20:N20"/>
    <mergeCell ref="M21:N21"/>
    <mergeCell ref="M22:N22"/>
    <mergeCell ref="M23:N23"/>
    <mergeCell ref="M24:N24"/>
    <mergeCell ref="M25:N25"/>
    <mergeCell ref="M26:N26"/>
    <mergeCell ref="K20:L20"/>
    <mergeCell ref="K21:L21"/>
    <mergeCell ref="K22:L22"/>
    <mergeCell ref="G20:H20"/>
    <mergeCell ref="I22:J22"/>
    <mergeCell ref="I23:J23"/>
    <mergeCell ref="I24:J24"/>
    <mergeCell ref="G21:H21"/>
    <mergeCell ref="G22:H22"/>
    <mergeCell ref="G23:H23"/>
    <mergeCell ref="G24:H24"/>
    <mergeCell ref="I20:J20"/>
    <mergeCell ref="I21:J21"/>
    <mergeCell ref="G30:H30"/>
    <mergeCell ref="G31:H31"/>
    <mergeCell ref="G32:H32"/>
    <mergeCell ref="G25:H25"/>
    <mergeCell ref="G26:H26"/>
    <mergeCell ref="G27:H27"/>
    <mergeCell ref="G28:H28"/>
    <mergeCell ref="G29:H29"/>
  </mergeCells>
  <conditionalFormatting sqref="P4:P17">
    <cfRule type="cellIs" dxfId="9" priority="3" operator="equal">
      <formula>1</formula>
    </cfRule>
  </conditionalFormatting>
  <conditionalFormatting sqref="T4:U12 T13 T14:U17">
    <cfRule type="cellIs" dxfId="8" priority="1" operator="equal">
      <formula>"Yes"</formula>
    </cfRule>
  </conditionalFormatting>
  <dataValidations count="2">
    <dataValidation type="list" allowBlank="1" showInputMessage="1" showErrorMessage="1" sqref="E21 E25 K4:K17 T4:T17" xr:uid="{53EA530A-3018-0D4B-83F3-B1184E97A5FE}">
      <formula1>$AT$4:$AT$5</formula1>
    </dataValidation>
    <dataValidation type="list" allowBlank="1" showInputMessage="1" showErrorMessage="1" sqref="E23" xr:uid="{07701F13-53D5-4790-A74D-1A254851A2D5}">
      <formula1>$I$36:$I$38</formula1>
    </dataValidation>
  </dataValidations>
  <printOptions horizontalCentered="1"/>
  <pageMargins left="0.7" right="0.7" top="0.75" bottom="0.75" header="0.3" footer="0.3"/>
  <pageSetup paperSize="9" scale="52" fitToWidth="2" orientation="landscape" r:id="rId1"/>
  <ignoredErrors>
    <ignoredError sqref="I6 I8 I9 I12:I14 I10:I11 I4"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14</vt:i4>
      </vt:variant>
    </vt:vector>
  </HeadingPairs>
  <TitlesOfParts>
    <vt:vector size="32" baseType="lpstr">
      <vt:lpstr>Handicaps-Roster</vt:lpstr>
      <vt:lpstr>2026 Applebee Finish Summary</vt:lpstr>
      <vt:lpstr>Race #1</vt:lpstr>
      <vt:lpstr>Race #2</vt:lpstr>
      <vt:lpstr>Race #3</vt:lpstr>
      <vt:lpstr>Race #4</vt:lpstr>
      <vt:lpstr>Race #5</vt:lpstr>
      <vt:lpstr>Race #6</vt:lpstr>
      <vt:lpstr>Race #7</vt:lpstr>
      <vt:lpstr>Race #8</vt:lpstr>
      <vt:lpstr>Race #9</vt:lpstr>
      <vt:lpstr>Race #10</vt:lpstr>
      <vt:lpstr>Race #11</vt:lpstr>
      <vt:lpstr>Pursuit Race Calcs TOD</vt:lpstr>
      <vt:lpstr>Pursuit Race Calcs Time on Time</vt:lpstr>
      <vt:lpstr>Interval Calcs - By Boat</vt:lpstr>
      <vt:lpstr>Distance by Leg</vt:lpstr>
      <vt:lpstr>Course Distances</vt:lpstr>
      <vt:lpstr>'2026 Applebee Finish Summary'!Print_Area</vt:lpstr>
      <vt:lpstr>'Handicaps-Roster'!Print_Area</vt:lpstr>
      <vt:lpstr>'Pursuit Race Calcs TOD'!Print_Area</vt:lpstr>
      <vt:lpstr>'Race #1'!Print_Area</vt:lpstr>
      <vt:lpstr>'Race #10'!Print_Area</vt:lpstr>
      <vt:lpstr>'Race #11'!Print_Area</vt:lpstr>
      <vt:lpstr>'Race #2'!Print_Area</vt:lpstr>
      <vt:lpstr>'Race #3'!Print_Area</vt:lpstr>
      <vt:lpstr>'Race #4'!Print_Area</vt:lpstr>
      <vt:lpstr>'Race #5'!Print_Area</vt:lpstr>
      <vt:lpstr>'Race #6'!Print_Area</vt:lpstr>
      <vt:lpstr>'Race #7'!Print_Area</vt:lpstr>
      <vt:lpstr>'Race #8'!Print_Area</vt:lpstr>
      <vt:lpstr>'Race #9'!Print_Area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Howard W. Cann</dc:creator>
  <cp:keywords/>
  <dc:description/>
  <cp:lastModifiedBy>Glenn VanOtteren</cp:lastModifiedBy>
  <cp:revision/>
  <cp:lastPrinted>2026-07-18T21:02:59Z</cp:lastPrinted>
  <dcterms:created xsi:type="dcterms:W3CDTF">2018-06-06T22:09:25Z</dcterms:created>
  <dcterms:modified xsi:type="dcterms:W3CDTF">2026-07-19T14:37:48Z</dcterms:modified>
  <cp:category/>
  <cp:contentStatus/>
</cp:coreProperties>
</file>